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"/>
    </mc:Choice>
  </mc:AlternateContent>
  <xr:revisionPtr revIDLastSave="0" documentId="8_{893CB5CE-1231-4933-B8A9-44BABA7D66CC}" xr6:coauthVersionLast="47" xr6:coauthVersionMax="47" xr10:uidLastSave="{00000000-0000-0000-0000-000000000000}"/>
  <bookViews>
    <workbookView xWindow="-120" yWindow="-120" windowWidth="29040" windowHeight="15840" firstSheet="6" activeTab="16" xr2:uid="{00000000-000D-0000-FFFF-FFFF00000000}"/>
  </bookViews>
  <sheets>
    <sheet name="jan" sheetId="11" r:id="rId1"/>
    <sheet name="Rekap jan" sheetId="2" r:id="rId2"/>
    <sheet name="grafikjan" sheetId="71" r:id="rId3"/>
    <sheet name="peb" sheetId="75" r:id="rId4"/>
    <sheet name="Rekap peb" sheetId="76" r:id="rId5"/>
    <sheet name="grafik peb" sheetId="77" r:id="rId6"/>
    <sheet name="maret" sheetId="78" r:id="rId7"/>
    <sheet name="Rekap maret" sheetId="79" r:id="rId8"/>
    <sheet name="grafik maret" sheetId="80" r:id="rId9"/>
    <sheet name="april" sheetId="81" r:id="rId10"/>
    <sheet name="Rekap april" sheetId="82" r:id="rId11"/>
    <sheet name="grafik april" sheetId="83" r:id="rId12"/>
    <sheet name="mei" sheetId="84" r:id="rId13"/>
    <sheet name="Rekap mei" sheetId="85" r:id="rId14"/>
    <sheet name="grafik mei" sheetId="86" r:id="rId15"/>
    <sheet name="juni" sheetId="87" r:id="rId16"/>
    <sheet name="Rekap juni" sheetId="88" r:id="rId17"/>
    <sheet name="grafik juni" sheetId="89" r:id="rId18"/>
    <sheet name="juli" sheetId="90" state="hidden" r:id="rId19"/>
    <sheet name="Rekap juli" sheetId="91" state="hidden" r:id="rId20"/>
    <sheet name="grafik juli" sheetId="92" state="hidden" r:id="rId21"/>
    <sheet name="agt" sheetId="96" state="hidden" r:id="rId22"/>
    <sheet name="Rekap agt" sheetId="97" state="hidden" r:id="rId23"/>
    <sheet name="grafik agt" sheetId="98" state="hidden" r:id="rId24"/>
    <sheet name="sept" sheetId="99" state="hidden" r:id="rId25"/>
    <sheet name="Rekap sept" sheetId="100" state="hidden" r:id="rId26"/>
    <sheet name="grafik sept" sheetId="101" state="hidden" r:id="rId27"/>
  </sheets>
  <externalReferences>
    <externalReference r:id="rId28"/>
  </externalReferences>
  <definedNames>
    <definedName name="_xlnm.Print_Area" localSheetId="8">'grafik maret'!$S$7</definedName>
    <definedName name="_xlnm.Print_Area" localSheetId="6">maret!$A$1:$O$481</definedName>
    <definedName name="_xlnm.Print_Area" localSheetId="7">'Rekap maret'!$A$1:$J$31</definedName>
    <definedName name="_xlnm.Print_Titles" localSheetId="21">agt!$5:$8</definedName>
    <definedName name="_xlnm.Print_Titles" localSheetId="9">april!$5:$8</definedName>
    <definedName name="_xlnm.Print_Titles" localSheetId="0">jan!$5:$8</definedName>
    <definedName name="_xlnm.Print_Titles" localSheetId="18">juli!$5:$8</definedName>
    <definedName name="_xlnm.Print_Titles" localSheetId="15">juni!$5:$8</definedName>
    <definedName name="_xlnm.Print_Titles" localSheetId="6">maret!$5:$8</definedName>
    <definedName name="_xlnm.Print_Titles" localSheetId="12">mei!$5:$8</definedName>
    <definedName name="_xlnm.Print_Titles" localSheetId="3">peb!$5:$8</definedName>
    <definedName name="_xlnm.Print_Titles" localSheetId="24">sept!$5:$8</definedName>
  </definedNames>
  <calcPr calcId="191029"/>
</workbook>
</file>

<file path=xl/calcChain.xml><?xml version="1.0" encoding="utf-8"?>
<calcChain xmlns="http://schemas.openxmlformats.org/spreadsheetml/2006/main">
  <c r="L71" i="99" l="1"/>
  <c r="H173" i="99" l="1"/>
  <c r="H60" i="99" l="1"/>
  <c r="H58" i="99"/>
  <c r="H56" i="99"/>
  <c r="H85" i="99" l="1"/>
  <c r="H71" i="99" l="1"/>
  <c r="H16" i="99" l="1"/>
  <c r="H124" i="99" l="1"/>
  <c r="L124" i="99"/>
  <c r="L151" i="99" l="1"/>
  <c r="H151" i="99"/>
  <c r="L85" i="99" l="1"/>
  <c r="L232" i="99" l="1"/>
  <c r="H232" i="99"/>
  <c r="Q474" i="99" l="1"/>
  <c r="L60" i="99" l="1"/>
  <c r="L173" i="99"/>
  <c r="L58" i="99"/>
  <c r="L246" i="99"/>
  <c r="H246" i="99"/>
  <c r="L56" i="99"/>
  <c r="H107" i="99"/>
  <c r="L142" i="99"/>
  <c r="H142" i="99"/>
  <c r="S252" i="99"/>
  <c r="S462" i="99"/>
  <c r="L224" i="99"/>
  <c r="H224" i="99"/>
  <c r="Q465" i="99"/>
  <c r="L107" i="99"/>
  <c r="L120" i="99"/>
  <c r="H120" i="99"/>
  <c r="S466" i="99"/>
  <c r="Q466" i="99"/>
  <c r="H107" i="90" l="1"/>
  <c r="D17" i="100" l="1"/>
  <c r="D12" i="100"/>
  <c r="D8" i="100"/>
  <c r="Q475" i="99"/>
  <c r="S471" i="99" s="1"/>
  <c r="Q460" i="99"/>
  <c r="Q458" i="99"/>
  <c r="Q457" i="99"/>
  <c r="L456" i="99"/>
  <c r="K456" i="99"/>
  <c r="M456" i="99" s="1"/>
  <c r="H456" i="99"/>
  <c r="G456" i="99"/>
  <c r="I456" i="99" s="1"/>
  <c r="J456" i="99" s="1"/>
  <c r="D456" i="99"/>
  <c r="Q455" i="99"/>
  <c r="M454" i="99"/>
  <c r="I454" i="99"/>
  <c r="O454" i="99" s="1"/>
  <c r="Q453" i="99"/>
  <c r="M452" i="99"/>
  <c r="I452" i="99"/>
  <c r="O452" i="99" s="1"/>
  <c r="Q451" i="99"/>
  <c r="L450" i="99"/>
  <c r="K450" i="99"/>
  <c r="M450" i="99" s="1"/>
  <c r="N450" i="99" s="1"/>
  <c r="H450" i="99"/>
  <c r="G450" i="99"/>
  <c r="I450" i="99" s="1"/>
  <c r="J450" i="99" s="1"/>
  <c r="D450" i="99"/>
  <c r="Q449" i="99"/>
  <c r="L448" i="99"/>
  <c r="K448" i="99"/>
  <c r="H448" i="99"/>
  <c r="G448" i="99"/>
  <c r="I448" i="99" s="1"/>
  <c r="D448" i="99"/>
  <c r="Q447" i="99"/>
  <c r="M446" i="99"/>
  <c r="N446" i="99" s="1"/>
  <c r="I446" i="99"/>
  <c r="Q445" i="99"/>
  <c r="N444" i="99"/>
  <c r="M444" i="99"/>
  <c r="I444" i="99"/>
  <c r="Q443" i="99"/>
  <c r="M442" i="99"/>
  <c r="L442" i="99"/>
  <c r="K442" i="99"/>
  <c r="H442" i="99"/>
  <c r="I442" i="99" s="1"/>
  <c r="J442" i="99" s="1"/>
  <c r="G442" i="99"/>
  <c r="D442" i="99"/>
  <c r="Q441" i="99"/>
  <c r="Q440" i="99"/>
  <c r="Q439" i="99"/>
  <c r="Q438" i="99"/>
  <c r="Q437" i="99"/>
  <c r="Q436" i="99"/>
  <c r="Q435" i="99"/>
  <c r="Q434" i="99"/>
  <c r="Q433" i="99"/>
  <c r="Q432" i="99"/>
  <c r="Q431" i="99"/>
  <c r="Q430" i="99"/>
  <c r="Q429" i="99"/>
  <c r="Q428" i="99"/>
  <c r="Q427" i="99"/>
  <c r="Q426" i="99"/>
  <c r="Q425" i="99"/>
  <c r="Q424" i="99"/>
  <c r="Q423" i="99"/>
  <c r="Q422" i="99"/>
  <c r="Q421" i="99"/>
  <c r="Q420" i="99"/>
  <c r="Q419" i="99"/>
  <c r="Q418" i="99"/>
  <c r="M417" i="99"/>
  <c r="L417" i="99"/>
  <c r="K417" i="99"/>
  <c r="H417" i="99"/>
  <c r="I417" i="99" s="1"/>
  <c r="J417" i="99" s="1"/>
  <c r="G417" i="99"/>
  <c r="D417" i="99"/>
  <c r="Q416" i="99"/>
  <c r="M415" i="99"/>
  <c r="N415" i="99" s="1"/>
  <c r="I415" i="99"/>
  <c r="O415" i="99" s="1"/>
  <c r="Q414" i="99"/>
  <c r="Q413" i="99"/>
  <c r="L412" i="99"/>
  <c r="K412" i="99"/>
  <c r="M412" i="99" s="1"/>
  <c r="H412" i="99"/>
  <c r="G412" i="99"/>
  <c r="D412" i="99"/>
  <c r="Q411" i="99"/>
  <c r="Q410" i="99"/>
  <c r="L409" i="99"/>
  <c r="K409" i="99"/>
  <c r="M409" i="99" s="1"/>
  <c r="H409" i="99"/>
  <c r="G409" i="99"/>
  <c r="I409" i="99" s="1"/>
  <c r="D409" i="99"/>
  <c r="Q408" i="99"/>
  <c r="M407" i="99"/>
  <c r="I407" i="99"/>
  <c r="J407" i="99" s="1"/>
  <c r="Q406" i="99"/>
  <c r="M405" i="99"/>
  <c r="I405" i="99"/>
  <c r="O405" i="99" s="1"/>
  <c r="Q404" i="99"/>
  <c r="M403" i="99"/>
  <c r="N403" i="99" s="1"/>
  <c r="I403" i="99"/>
  <c r="O403" i="99" s="1"/>
  <c r="Q402" i="99"/>
  <c r="N401" i="99"/>
  <c r="M401" i="99"/>
  <c r="Q401" i="99" s="1"/>
  <c r="I401" i="99"/>
  <c r="J401" i="99" s="1"/>
  <c r="Q400" i="99"/>
  <c r="M399" i="99"/>
  <c r="N399" i="99" s="1"/>
  <c r="J399" i="99"/>
  <c r="I399" i="99"/>
  <c r="O399" i="99" s="1"/>
  <c r="Q398" i="99"/>
  <c r="O397" i="99"/>
  <c r="M397" i="99"/>
  <c r="N397" i="99" s="1"/>
  <c r="I397" i="99"/>
  <c r="Q396" i="99"/>
  <c r="Q395" i="99"/>
  <c r="M394" i="99"/>
  <c r="N394" i="99" s="1"/>
  <c r="I394" i="99"/>
  <c r="Q393" i="99"/>
  <c r="N392" i="99"/>
  <c r="M392" i="99"/>
  <c r="I392" i="99"/>
  <c r="J392" i="99" s="1"/>
  <c r="Q391" i="99"/>
  <c r="M390" i="99"/>
  <c r="I390" i="99"/>
  <c r="J390" i="99" s="1"/>
  <c r="Q389" i="99"/>
  <c r="L388" i="99"/>
  <c r="M388" i="99" s="1"/>
  <c r="N388" i="99" s="1"/>
  <c r="K388" i="99"/>
  <c r="H388" i="99"/>
  <c r="G388" i="99"/>
  <c r="D388" i="99"/>
  <c r="Q387" i="99"/>
  <c r="Q386" i="99"/>
  <c r="Q385" i="99"/>
  <c r="Q384" i="99"/>
  <c r="Q383" i="99"/>
  <c r="Q382" i="99"/>
  <c r="Q381" i="99"/>
  <c r="Q380" i="99"/>
  <c r="Q379" i="99"/>
  <c r="Q378" i="99"/>
  <c r="Q377" i="99"/>
  <c r="Q376" i="99"/>
  <c r="Q375" i="99"/>
  <c r="Q374" i="99"/>
  <c r="Q373" i="99"/>
  <c r="Q372" i="99"/>
  <c r="Q371" i="99"/>
  <c r="Q370" i="99"/>
  <c r="Q369" i="99"/>
  <c r="Q368" i="99"/>
  <c r="Q367" i="99"/>
  <c r="Q366" i="99"/>
  <c r="Q365" i="99"/>
  <c r="Q364" i="99"/>
  <c r="Q363" i="99"/>
  <c r="Q362" i="99"/>
  <c r="Q361" i="99"/>
  <c r="Q360" i="99"/>
  <c r="Q359" i="99"/>
  <c r="Q358" i="99"/>
  <c r="Q357" i="99"/>
  <c r="Q356" i="99"/>
  <c r="Q355" i="99"/>
  <c r="Q353" i="99"/>
  <c r="Q352" i="99"/>
  <c r="L351" i="99"/>
  <c r="K351" i="99"/>
  <c r="M351" i="99" s="1"/>
  <c r="I351" i="99"/>
  <c r="H351" i="99"/>
  <c r="H354" i="99" s="1"/>
  <c r="G351" i="99"/>
  <c r="D351" i="99"/>
  <c r="Q350" i="99"/>
  <c r="M349" i="99"/>
  <c r="Q349" i="99" s="1"/>
  <c r="I349" i="99"/>
  <c r="J349" i="99" s="1"/>
  <c r="Q348" i="99"/>
  <c r="Q347" i="99"/>
  <c r="L346" i="99"/>
  <c r="K346" i="99"/>
  <c r="M346" i="99" s="1"/>
  <c r="I346" i="99"/>
  <c r="J346" i="99" s="1"/>
  <c r="H346" i="99"/>
  <c r="G346" i="99"/>
  <c r="D346" i="99"/>
  <c r="Q345" i="99"/>
  <c r="Q344" i="99"/>
  <c r="L343" i="99"/>
  <c r="K343" i="99"/>
  <c r="M343" i="99" s="1"/>
  <c r="H343" i="99"/>
  <c r="G343" i="99"/>
  <c r="D343" i="99"/>
  <c r="Q342" i="99"/>
  <c r="O341" i="99"/>
  <c r="M341" i="99"/>
  <c r="Q341" i="99" s="1"/>
  <c r="I341" i="99"/>
  <c r="J341" i="99" s="1"/>
  <c r="Q340" i="99"/>
  <c r="M339" i="99"/>
  <c r="J339" i="99"/>
  <c r="I339" i="99"/>
  <c r="O339" i="99" s="1"/>
  <c r="Q338" i="99"/>
  <c r="M337" i="99"/>
  <c r="N337" i="99" s="1"/>
  <c r="I337" i="99"/>
  <c r="J337" i="99" s="1"/>
  <c r="Q336" i="99"/>
  <c r="Q335" i="99"/>
  <c r="O334" i="99"/>
  <c r="M334" i="99"/>
  <c r="N334" i="99" s="1"/>
  <c r="I334" i="99"/>
  <c r="J334" i="99" s="1"/>
  <c r="Q333" i="99"/>
  <c r="Q332" i="99"/>
  <c r="L331" i="99"/>
  <c r="K331" i="99"/>
  <c r="H331" i="99"/>
  <c r="G331" i="99"/>
  <c r="D331" i="99"/>
  <c r="Q330" i="99"/>
  <c r="Q329" i="99"/>
  <c r="Q328" i="99"/>
  <c r="Q327" i="99"/>
  <c r="Q326" i="99"/>
  <c r="Q325" i="99"/>
  <c r="Q324" i="99"/>
  <c r="Q323" i="99"/>
  <c r="Q322" i="99"/>
  <c r="Q321" i="99"/>
  <c r="Q320" i="99"/>
  <c r="Q319" i="99"/>
  <c r="Q318" i="99"/>
  <c r="Q317" i="99"/>
  <c r="Q316" i="99"/>
  <c r="Q315" i="99"/>
  <c r="Q314" i="99"/>
  <c r="Q313" i="99"/>
  <c r="Q312" i="99"/>
  <c r="Q311" i="99"/>
  <c r="Q310" i="99"/>
  <c r="Q309" i="99"/>
  <c r="Q308" i="99"/>
  <c r="Q307" i="99"/>
  <c r="Q306" i="99"/>
  <c r="Q305" i="99"/>
  <c r="Q304" i="99"/>
  <c r="Q303" i="99"/>
  <c r="Q302" i="99"/>
  <c r="Q301" i="99"/>
  <c r="Q300" i="99"/>
  <c r="Q299" i="99"/>
  <c r="L298" i="99"/>
  <c r="K298" i="99"/>
  <c r="H298" i="99"/>
  <c r="G298" i="99"/>
  <c r="I298" i="99" s="1"/>
  <c r="D298" i="99"/>
  <c r="Q297" i="99"/>
  <c r="N296" i="99"/>
  <c r="M296" i="99"/>
  <c r="I296" i="99"/>
  <c r="Q295" i="99"/>
  <c r="Q294" i="99"/>
  <c r="L293" i="99"/>
  <c r="K293" i="99"/>
  <c r="H293" i="99"/>
  <c r="G293" i="99"/>
  <c r="I293" i="99" s="1"/>
  <c r="J293" i="99" s="1"/>
  <c r="D293" i="99"/>
  <c r="O293" i="99" s="1"/>
  <c r="Q292" i="99"/>
  <c r="Q291" i="99"/>
  <c r="L290" i="99"/>
  <c r="K290" i="99"/>
  <c r="H290" i="99"/>
  <c r="G290" i="99"/>
  <c r="I290" i="99" s="1"/>
  <c r="J290" i="99" s="1"/>
  <c r="D290" i="99"/>
  <c r="Q289" i="99"/>
  <c r="M288" i="99"/>
  <c r="N288" i="99" s="1"/>
  <c r="I288" i="99"/>
  <c r="Q288" i="99" s="1"/>
  <c r="Q287" i="99"/>
  <c r="M286" i="99"/>
  <c r="N286" i="99" s="1"/>
  <c r="I286" i="99"/>
  <c r="J286" i="99" s="1"/>
  <c r="Q285" i="99"/>
  <c r="M284" i="99"/>
  <c r="Q284" i="99" s="1"/>
  <c r="J284" i="99"/>
  <c r="I284" i="99"/>
  <c r="O284" i="99" s="1"/>
  <c r="Q283" i="99"/>
  <c r="M282" i="99"/>
  <c r="Q282" i="99" s="1"/>
  <c r="I282" i="99"/>
  <c r="N281" i="99"/>
  <c r="M281" i="99"/>
  <c r="I281" i="99"/>
  <c r="Q281" i="99" s="1"/>
  <c r="Q280" i="99"/>
  <c r="O279" i="99"/>
  <c r="N279" i="99"/>
  <c r="M279" i="99"/>
  <c r="I279" i="99"/>
  <c r="J279" i="99" s="1"/>
  <c r="Q278" i="99"/>
  <c r="L277" i="99"/>
  <c r="M277" i="99" s="1"/>
  <c r="K277" i="99"/>
  <c r="H277" i="99"/>
  <c r="G277" i="99"/>
  <c r="I277" i="99" s="1"/>
  <c r="J277" i="99" s="1"/>
  <c r="D277" i="99"/>
  <c r="Q276" i="99"/>
  <c r="Q275" i="99"/>
  <c r="Q274" i="99"/>
  <c r="Q273" i="99"/>
  <c r="Q272" i="99"/>
  <c r="Q271" i="99"/>
  <c r="Q270" i="99"/>
  <c r="Q269" i="99"/>
  <c r="Q268" i="99"/>
  <c r="Q267" i="99"/>
  <c r="Q266" i="99"/>
  <c r="Q265" i="99"/>
  <c r="Q264" i="99"/>
  <c r="Q263" i="99"/>
  <c r="Q262" i="99"/>
  <c r="Q261" i="99"/>
  <c r="Q260" i="99"/>
  <c r="Q259" i="99"/>
  <c r="Q258" i="99"/>
  <c r="Q257" i="99"/>
  <c r="Q256" i="99"/>
  <c r="Q255" i="99"/>
  <c r="Q254" i="99"/>
  <c r="D253" i="99"/>
  <c r="F250" i="99"/>
  <c r="E250" i="99"/>
  <c r="D250" i="99"/>
  <c r="S249" i="99"/>
  <c r="F248" i="99"/>
  <c r="F246" i="99"/>
  <c r="F244" i="99"/>
  <c r="E244" i="99"/>
  <c r="D244" i="99"/>
  <c r="L242" i="99"/>
  <c r="H242" i="99"/>
  <c r="E242" i="99"/>
  <c r="D242" i="99"/>
  <c r="F240" i="99"/>
  <c r="L238" i="99"/>
  <c r="H238" i="99"/>
  <c r="D238" i="99"/>
  <c r="F238" i="99" s="1"/>
  <c r="L236" i="99"/>
  <c r="L228" i="99" s="1"/>
  <c r="H236" i="99"/>
  <c r="H228" i="99" s="1"/>
  <c r="E236" i="99"/>
  <c r="E228" i="99" s="1"/>
  <c r="D236" i="99"/>
  <c r="D228" i="99" s="1"/>
  <c r="F234" i="99"/>
  <c r="F232" i="99"/>
  <c r="F230" i="99"/>
  <c r="F226" i="99"/>
  <c r="E226" i="99"/>
  <c r="E220" i="99" s="1"/>
  <c r="E184" i="99" s="1"/>
  <c r="D226" i="99"/>
  <c r="D220" i="99" s="1"/>
  <c r="F220" i="99" s="1"/>
  <c r="L226" i="99"/>
  <c r="L220" i="99" s="1"/>
  <c r="H226" i="99"/>
  <c r="H220" i="99" s="1"/>
  <c r="F224" i="99"/>
  <c r="F222" i="99"/>
  <c r="L218" i="99"/>
  <c r="H218" i="99"/>
  <c r="F218" i="99"/>
  <c r="E218" i="99"/>
  <c r="D218" i="99"/>
  <c r="F216" i="99"/>
  <c r="L214" i="99"/>
  <c r="H214" i="99"/>
  <c r="F214" i="99"/>
  <c r="E214" i="99"/>
  <c r="D214" i="99"/>
  <c r="L212" i="99"/>
  <c r="H212" i="99"/>
  <c r="E212" i="99"/>
  <c r="D212" i="99"/>
  <c r="F212" i="99" s="1"/>
  <c r="F210" i="99"/>
  <c r="F208" i="99"/>
  <c r="F206" i="99"/>
  <c r="F204" i="99"/>
  <c r="I203" i="99"/>
  <c r="F202" i="99"/>
  <c r="L200" i="99"/>
  <c r="H200" i="99"/>
  <c r="D200" i="99"/>
  <c r="F200" i="99" s="1"/>
  <c r="L198" i="99"/>
  <c r="H198" i="99"/>
  <c r="E198" i="99"/>
  <c r="F198" i="99" s="1"/>
  <c r="D198" i="99"/>
  <c r="F196" i="99"/>
  <c r="F194" i="99"/>
  <c r="L192" i="99"/>
  <c r="H192" i="99"/>
  <c r="D192" i="99"/>
  <c r="L190" i="99"/>
  <c r="H190" i="99"/>
  <c r="D190" i="99"/>
  <c r="F188" i="99"/>
  <c r="F190" i="99" s="1"/>
  <c r="L186" i="99"/>
  <c r="H186" i="99"/>
  <c r="D186" i="99"/>
  <c r="F186" i="99" s="1"/>
  <c r="Q180" i="99"/>
  <c r="L179" i="99"/>
  <c r="H179" i="99"/>
  <c r="E179" i="99"/>
  <c r="D179" i="99"/>
  <c r="F177" i="99"/>
  <c r="F175" i="99"/>
  <c r="F173" i="99"/>
  <c r="F171" i="99"/>
  <c r="L169" i="99"/>
  <c r="L167" i="99" s="1"/>
  <c r="H169" i="99"/>
  <c r="D169" i="99"/>
  <c r="F169" i="99" s="1"/>
  <c r="F167" i="99" s="1"/>
  <c r="E167" i="99"/>
  <c r="Q162" i="99"/>
  <c r="L159" i="99"/>
  <c r="H159" i="99"/>
  <c r="E159" i="99"/>
  <c r="D159" i="99"/>
  <c r="F157" i="99"/>
  <c r="F159" i="99" s="1"/>
  <c r="L155" i="99"/>
  <c r="H155" i="99"/>
  <c r="D155" i="99"/>
  <c r="F155" i="99" s="1"/>
  <c r="F153" i="99"/>
  <c r="E153" i="99"/>
  <c r="D153" i="99"/>
  <c r="D161" i="99" s="1"/>
  <c r="F161" i="99" s="1"/>
  <c r="H153" i="99"/>
  <c r="F151" i="99"/>
  <c r="L149" i="99"/>
  <c r="D149" i="99"/>
  <c r="F149" i="99" s="1"/>
  <c r="E147" i="99"/>
  <c r="D147" i="99"/>
  <c r="F146" i="99"/>
  <c r="F144" i="99"/>
  <c r="L147" i="99"/>
  <c r="H147" i="99"/>
  <c r="F142" i="99"/>
  <c r="L140" i="99"/>
  <c r="H140" i="99"/>
  <c r="E140" i="99"/>
  <c r="D140" i="99"/>
  <c r="L139" i="99"/>
  <c r="H139" i="99"/>
  <c r="F139" i="99"/>
  <c r="D139" i="99"/>
  <c r="F137" i="99"/>
  <c r="F135" i="99"/>
  <c r="L133" i="99"/>
  <c r="H133" i="99"/>
  <c r="E133" i="99"/>
  <c r="E131" i="99" s="1"/>
  <c r="D133" i="99"/>
  <c r="Q127" i="99"/>
  <c r="F126" i="99"/>
  <c r="E126" i="99"/>
  <c r="D126" i="99"/>
  <c r="D118" i="99" s="1"/>
  <c r="F118" i="99" s="1"/>
  <c r="L126" i="99"/>
  <c r="L118" i="99" s="1"/>
  <c r="H126" i="99"/>
  <c r="H118" i="99" s="1"/>
  <c r="F124" i="99"/>
  <c r="F122" i="99"/>
  <c r="F120" i="99"/>
  <c r="E118" i="99"/>
  <c r="Q116" i="99"/>
  <c r="Q114" i="99"/>
  <c r="L113" i="99"/>
  <c r="L103" i="99" s="1"/>
  <c r="H113" i="99"/>
  <c r="H103" i="99" s="1"/>
  <c r="E113" i="99"/>
  <c r="D113" i="99"/>
  <c r="F111" i="99"/>
  <c r="F109" i="99"/>
  <c r="F107" i="99"/>
  <c r="D105" i="99"/>
  <c r="F105" i="99" s="1"/>
  <c r="E103" i="99"/>
  <c r="Q101" i="99"/>
  <c r="Q99" i="99"/>
  <c r="L96" i="99"/>
  <c r="H96" i="99"/>
  <c r="D96" i="99"/>
  <c r="F95" i="99"/>
  <c r="L93" i="99"/>
  <c r="H93" i="99"/>
  <c r="E93" i="99"/>
  <c r="E98" i="99" s="1"/>
  <c r="E82" i="99" s="1"/>
  <c r="D93" i="99"/>
  <c r="F93" i="99" s="1"/>
  <c r="L91" i="99"/>
  <c r="L83" i="99" s="1"/>
  <c r="H91" i="99"/>
  <c r="H83" i="99" s="1"/>
  <c r="D91" i="99"/>
  <c r="F89" i="99"/>
  <c r="F87" i="99"/>
  <c r="F85" i="99"/>
  <c r="D83" i="99"/>
  <c r="F83" i="99" s="1"/>
  <c r="Q78" i="99"/>
  <c r="E77" i="99"/>
  <c r="D77" i="99"/>
  <c r="F77" i="99" s="1"/>
  <c r="L69" i="99"/>
  <c r="H69" i="99"/>
  <c r="F75" i="99"/>
  <c r="L77" i="99"/>
  <c r="L67" i="99" s="1"/>
  <c r="H77" i="99"/>
  <c r="H67" i="99" s="1"/>
  <c r="F73" i="99"/>
  <c r="F71" i="99"/>
  <c r="F69" i="99"/>
  <c r="D69" i="99"/>
  <c r="E67" i="99"/>
  <c r="F67" i="99" s="1"/>
  <c r="D67" i="99"/>
  <c r="Q63" i="99"/>
  <c r="L62" i="99"/>
  <c r="L52" i="99" s="1"/>
  <c r="H62" i="99"/>
  <c r="H52" i="99" s="1"/>
  <c r="E62" i="99"/>
  <c r="D62" i="99"/>
  <c r="F62" i="99" s="1"/>
  <c r="F60" i="99"/>
  <c r="F58" i="99"/>
  <c r="F56" i="99"/>
  <c r="L54" i="99"/>
  <c r="H54" i="99"/>
  <c r="D54" i="99"/>
  <c r="F54" i="99" s="1"/>
  <c r="E52" i="99"/>
  <c r="D52" i="99"/>
  <c r="F52" i="99" s="1"/>
  <c r="Q51" i="99"/>
  <c r="Q48" i="99"/>
  <c r="E47" i="99"/>
  <c r="D47" i="99"/>
  <c r="F47" i="99" s="1"/>
  <c r="L45" i="99"/>
  <c r="L47" i="99" s="1"/>
  <c r="H45" i="99"/>
  <c r="H47" i="99" s="1"/>
  <c r="D45" i="99"/>
  <c r="F43" i="99"/>
  <c r="F41" i="99"/>
  <c r="F39" i="99"/>
  <c r="L37" i="99"/>
  <c r="H37" i="99"/>
  <c r="D37" i="99"/>
  <c r="F37" i="99" s="1"/>
  <c r="E35" i="99"/>
  <c r="D35" i="99"/>
  <c r="F35" i="99" s="1"/>
  <c r="Q31" i="99"/>
  <c r="L28" i="99"/>
  <c r="H28" i="99"/>
  <c r="E28" i="99"/>
  <c r="D28" i="99"/>
  <c r="F28" i="99" s="1"/>
  <c r="F26" i="99"/>
  <c r="L24" i="99"/>
  <c r="H24" i="99"/>
  <c r="F24" i="99"/>
  <c r="D24" i="99"/>
  <c r="D22" i="99"/>
  <c r="L22" i="99"/>
  <c r="F20" i="99"/>
  <c r="F18" i="99"/>
  <c r="F16" i="99"/>
  <c r="L14" i="99"/>
  <c r="D14" i="99"/>
  <c r="F14" i="99" s="1"/>
  <c r="E12" i="99"/>
  <c r="E30" i="99" s="1"/>
  <c r="D12" i="99"/>
  <c r="L151" i="96"/>
  <c r="H151" i="96"/>
  <c r="L35" i="99" l="1"/>
  <c r="M293" i="99"/>
  <c r="I331" i="99"/>
  <c r="J331" i="99" s="1"/>
  <c r="I343" i="99"/>
  <c r="O343" i="99" s="1"/>
  <c r="Q392" i="99"/>
  <c r="Q454" i="99"/>
  <c r="F236" i="99"/>
  <c r="F228" i="99" s="1"/>
  <c r="M298" i="99"/>
  <c r="Q298" i="99" s="1"/>
  <c r="O337" i="99"/>
  <c r="Q403" i="99"/>
  <c r="F133" i="99"/>
  <c r="O392" i="99"/>
  <c r="N417" i="99"/>
  <c r="L82" i="99"/>
  <c r="E253" i="99"/>
  <c r="E459" i="99" s="1"/>
  <c r="I388" i="99"/>
  <c r="J388" i="99" s="1"/>
  <c r="Q399" i="99"/>
  <c r="J405" i="99"/>
  <c r="J415" i="99"/>
  <c r="L354" i="99"/>
  <c r="D30" i="99"/>
  <c r="Q415" i="99"/>
  <c r="F179" i="99"/>
  <c r="D167" i="99"/>
  <c r="O286" i="99"/>
  <c r="J448" i="99"/>
  <c r="J452" i="99"/>
  <c r="F253" i="99"/>
  <c r="Q397" i="99"/>
  <c r="Q390" i="99"/>
  <c r="J397" i="99"/>
  <c r="I412" i="99"/>
  <c r="J412" i="99" s="1"/>
  <c r="M448" i="99"/>
  <c r="N448" i="99" s="1"/>
  <c r="O409" i="99"/>
  <c r="F140" i="99"/>
  <c r="J454" i="99"/>
  <c r="H82" i="99"/>
  <c r="H161" i="99"/>
  <c r="L12" i="99"/>
  <c r="L30" i="99" s="1"/>
  <c r="H35" i="99"/>
  <c r="D16" i="100"/>
  <c r="F192" i="99"/>
  <c r="D184" i="99"/>
  <c r="F184" i="99" s="1"/>
  <c r="F12" i="99"/>
  <c r="H98" i="99"/>
  <c r="H167" i="99"/>
  <c r="F91" i="99"/>
  <c r="H22" i="99"/>
  <c r="H14" i="99"/>
  <c r="H12" i="99" s="1"/>
  <c r="H30" i="99" s="1"/>
  <c r="L153" i="99"/>
  <c r="F22" i="99"/>
  <c r="J298" i="99"/>
  <c r="O298" i="99"/>
  <c r="J444" i="99"/>
  <c r="O444" i="99"/>
  <c r="J446" i="99"/>
  <c r="Q446" i="99"/>
  <c r="O446" i="99"/>
  <c r="J409" i="99"/>
  <c r="N409" i="99"/>
  <c r="N412" i="99"/>
  <c r="Q412" i="99"/>
  <c r="Q444" i="99"/>
  <c r="F45" i="99"/>
  <c r="D98" i="99"/>
  <c r="F98" i="99" s="1"/>
  <c r="L98" i="99"/>
  <c r="F113" i="99"/>
  <c r="D103" i="99"/>
  <c r="F103" i="99" s="1"/>
  <c r="D131" i="99"/>
  <c r="F147" i="99"/>
  <c r="H149" i="99"/>
  <c r="J343" i="99"/>
  <c r="Q346" i="99"/>
  <c r="N346" i="99"/>
  <c r="O394" i="99"/>
  <c r="Q394" i="99"/>
  <c r="Q456" i="99"/>
  <c r="J296" i="99"/>
  <c r="O296" i="99"/>
  <c r="Q296" i="99"/>
  <c r="S473" i="99"/>
  <c r="D82" i="99"/>
  <c r="F82" i="99" s="1"/>
  <c r="L131" i="99"/>
  <c r="Q388" i="99"/>
  <c r="N390" i="99"/>
  <c r="J394" i="99"/>
  <c r="O456" i="99"/>
  <c r="N456" i="99"/>
  <c r="M290" i="99"/>
  <c r="M331" i="99"/>
  <c r="Q337" i="99"/>
  <c r="N339" i="99"/>
  <c r="Q339" i="99"/>
  <c r="Q351" i="99"/>
  <c r="Q407" i="99"/>
  <c r="N407" i="99"/>
  <c r="Q442" i="99"/>
  <c r="N442" i="99"/>
  <c r="O448" i="99"/>
  <c r="O450" i="99"/>
  <c r="F242" i="99"/>
  <c r="L250" i="99"/>
  <c r="L253" i="99" s="1"/>
  <c r="L244" i="99"/>
  <c r="L184" i="99" s="1"/>
  <c r="Q343" i="99"/>
  <c r="N343" i="99"/>
  <c r="D354" i="99"/>
  <c r="O351" i="99"/>
  <c r="J351" i="99"/>
  <c r="N351" i="99"/>
  <c r="N405" i="99"/>
  <c r="Q405" i="99"/>
  <c r="Q417" i="99"/>
  <c r="Q448" i="99"/>
  <c r="Q450" i="99"/>
  <c r="N452" i="99"/>
  <c r="Q452" i="99"/>
  <c r="Q277" i="99"/>
  <c r="Q279" i="99"/>
  <c r="O281" i="99"/>
  <c r="Q286" i="99"/>
  <c r="O288" i="99"/>
  <c r="O290" i="99"/>
  <c r="O331" i="99"/>
  <c r="Q334" i="99"/>
  <c r="O346" i="99"/>
  <c r="G354" i="99"/>
  <c r="I354" i="99" s="1"/>
  <c r="J354" i="99" s="1"/>
  <c r="K354" i="99"/>
  <c r="M354" i="99" s="1"/>
  <c r="O388" i="99"/>
  <c r="O417" i="99"/>
  <c r="O442" i="99"/>
  <c r="H250" i="99"/>
  <c r="H244" i="99" s="1"/>
  <c r="O277" i="99"/>
  <c r="N277" i="99"/>
  <c r="J281" i="99"/>
  <c r="N284" i="99"/>
  <c r="J288" i="99"/>
  <c r="N349" i="99"/>
  <c r="Q409" i="99"/>
  <c r="O412" i="99"/>
  <c r="N454" i="99"/>
  <c r="O349" i="99"/>
  <c r="O390" i="99"/>
  <c r="O401" i="99"/>
  <c r="O407" i="99"/>
  <c r="Q293" i="99" l="1"/>
  <c r="N293" i="99"/>
  <c r="F131" i="99"/>
  <c r="N298" i="99"/>
  <c r="D21" i="100"/>
  <c r="N331" i="99"/>
  <c r="Q331" i="99"/>
  <c r="O354" i="99"/>
  <c r="N290" i="99"/>
  <c r="Q290" i="99"/>
  <c r="H131" i="99"/>
  <c r="D459" i="99"/>
  <c r="L161" i="99"/>
  <c r="L459" i="99" s="1"/>
  <c r="S475" i="99" s="1"/>
  <c r="H184" i="99"/>
  <c r="H253" i="99"/>
  <c r="H459" i="99" s="1"/>
  <c r="F96" i="99"/>
  <c r="N354" i="99"/>
  <c r="Q354" i="99"/>
  <c r="F30" i="99"/>
  <c r="S480" i="99" l="1"/>
  <c r="S254" i="99"/>
  <c r="S476" i="99"/>
  <c r="F459" i="99"/>
  <c r="Q474" i="96" l="1"/>
  <c r="L208" i="96"/>
  <c r="H208" i="96"/>
  <c r="H18" i="87" l="1"/>
  <c r="L20" i="96"/>
  <c r="L18" i="96"/>
  <c r="L56" i="96" l="1"/>
  <c r="L246" i="96" l="1"/>
  <c r="H246" i="96"/>
  <c r="H204" i="96"/>
  <c r="L204" i="96"/>
  <c r="H175" i="96" l="1"/>
  <c r="H173" i="96"/>
  <c r="H171" i="96"/>
  <c r="L175" i="96" l="1"/>
  <c r="L171" i="96"/>
  <c r="L173" i="96"/>
  <c r="H20" i="96" l="1"/>
  <c r="H16" i="96"/>
  <c r="L85" i="96" l="1"/>
  <c r="H85" i="96"/>
  <c r="H56" i="96" l="1"/>
  <c r="H18" i="96" l="1"/>
  <c r="L95" i="96" l="1"/>
  <c r="L124" i="96" l="1"/>
  <c r="H124" i="96"/>
  <c r="L75" i="96"/>
  <c r="H75" i="96"/>
  <c r="L73" i="96" l="1"/>
  <c r="H73" i="96"/>
  <c r="L58" i="96"/>
  <c r="H58" i="96"/>
  <c r="L224" i="96" l="1"/>
  <c r="H224" i="96"/>
  <c r="L202" i="96"/>
  <c r="H202" i="96"/>
  <c r="L248" i="96"/>
  <c r="H248" i="96"/>
  <c r="L230" i="96"/>
  <c r="H230" i="96"/>
  <c r="H95" i="96" l="1"/>
  <c r="Q466" i="96" l="1"/>
  <c r="S462" i="96" l="1"/>
  <c r="L142" i="96"/>
  <c r="H142" i="96"/>
  <c r="Q465" i="96"/>
  <c r="S466" i="96"/>
  <c r="D17" i="97"/>
  <c r="D16" i="97"/>
  <c r="D12" i="97"/>
  <c r="D8" i="97"/>
  <c r="Q475" i="96"/>
  <c r="S471" i="96" s="1"/>
  <c r="S473" i="96" s="1"/>
  <c r="Q460" i="96"/>
  <c r="Q458" i="96"/>
  <c r="Q457" i="96"/>
  <c r="M456" i="96"/>
  <c r="L456" i="96"/>
  <c r="K456" i="96"/>
  <c r="H456" i="96"/>
  <c r="G456" i="96"/>
  <c r="I456" i="96" s="1"/>
  <c r="D456" i="96"/>
  <c r="Q455" i="96"/>
  <c r="M454" i="96"/>
  <c r="I454" i="96"/>
  <c r="J454" i="96" s="1"/>
  <c r="Q453" i="96"/>
  <c r="N452" i="96"/>
  <c r="M452" i="96"/>
  <c r="I452" i="96"/>
  <c r="O452" i="96" s="1"/>
  <c r="Q451" i="96"/>
  <c r="L450" i="96"/>
  <c r="M450" i="96" s="1"/>
  <c r="K450" i="96"/>
  <c r="H450" i="96"/>
  <c r="G450" i="96"/>
  <c r="D450" i="96"/>
  <c r="Q449" i="96"/>
  <c r="M448" i="96"/>
  <c r="L448" i="96"/>
  <c r="K448" i="96"/>
  <c r="H448" i="96"/>
  <c r="G448" i="96"/>
  <c r="I448" i="96" s="1"/>
  <c r="J448" i="96" s="1"/>
  <c r="D448" i="96"/>
  <c r="Q447" i="96"/>
  <c r="O446" i="96"/>
  <c r="M446" i="96"/>
  <c r="I446" i="96"/>
  <c r="J446" i="96" s="1"/>
  <c r="Q445" i="96"/>
  <c r="N444" i="96"/>
  <c r="M444" i="96"/>
  <c r="I444" i="96"/>
  <c r="O444" i="96" s="1"/>
  <c r="Q443" i="96"/>
  <c r="L442" i="96"/>
  <c r="K442" i="96"/>
  <c r="H442" i="96"/>
  <c r="G442" i="96"/>
  <c r="D442" i="96"/>
  <c r="Q441" i="96"/>
  <c r="Q440" i="96"/>
  <c r="Q439" i="96"/>
  <c r="Q438" i="96"/>
  <c r="Q437" i="96"/>
  <c r="Q436" i="96"/>
  <c r="Q435" i="96"/>
  <c r="Q434" i="96"/>
  <c r="Q433" i="96"/>
  <c r="Q432" i="96"/>
  <c r="Q431" i="96"/>
  <c r="Q430" i="96"/>
  <c r="Q429" i="96"/>
  <c r="Q428" i="96"/>
  <c r="Q427" i="96"/>
  <c r="Q426" i="96"/>
  <c r="Q425" i="96"/>
  <c r="Q424" i="96"/>
  <c r="Q423" i="96"/>
  <c r="Q422" i="96"/>
  <c r="Q421" i="96"/>
  <c r="Q420" i="96"/>
  <c r="Q419" i="96"/>
  <c r="Q418" i="96"/>
  <c r="L417" i="96"/>
  <c r="K417" i="96"/>
  <c r="H417" i="96"/>
  <c r="I417" i="96" s="1"/>
  <c r="G417" i="96"/>
  <c r="D417" i="96"/>
  <c r="Q416" i="96"/>
  <c r="Q415" i="96"/>
  <c r="N415" i="96"/>
  <c r="M415" i="96"/>
  <c r="J415" i="96"/>
  <c r="I415" i="96"/>
  <c r="O415" i="96" s="1"/>
  <c r="Q414" i="96"/>
  <c r="Q413" i="96"/>
  <c r="L412" i="96"/>
  <c r="M412" i="96" s="1"/>
  <c r="K412" i="96"/>
  <c r="H412" i="96"/>
  <c r="G412" i="96"/>
  <c r="D412" i="96"/>
  <c r="Q411" i="96"/>
  <c r="Q410" i="96"/>
  <c r="L409" i="96"/>
  <c r="K409" i="96"/>
  <c r="M409" i="96" s="1"/>
  <c r="H409" i="96"/>
  <c r="G409" i="96"/>
  <c r="I409" i="96" s="1"/>
  <c r="J409" i="96" s="1"/>
  <c r="D409" i="96"/>
  <c r="Q408" i="96"/>
  <c r="M407" i="96"/>
  <c r="I407" i="96"/>
  <c r="J407" i="96" s="1"/>
  <c r="Q406" i="96"/>
  <c r="Q405" i="96"/>
  <c r="N405" i="96"/>
  <c r="M405" i="96"/>
  <c r="J405" i="96"/>
  <c r="I405" i="96"/>
  <c r="O405" i="96" s="1"/>
  <c r="Q404" i="96"/>
  <c r="O403" i="96"/>
  <c r="M403" i="96"/>
  <c r="I403" i="96"/>
  <c r="Q402" i="96"/>
  <c r="M401" i="96"/>
  <c r="I401" i="96"/>
  <c r="J401" i="96" s="1"/>
  <c r="Q400" i="96"/>
  <c r="N399" i="96"/>
  <c r="M399" i="96"/>
  <c r="Q399" i="96" s="1"/>
  <c r="I399" i="96"/>
  <c r="O399" i="96" s="1"/>
  <c r="Q398" i="96"/>
  <c r="M397" i="96"/>
  <c r="I397" i="96"/>
  <c r="J397" i="96" s="1"/>
  <c r="Q396" i="96"/>
  <c r="Q395" i="96"/>
  <c r="M394" i="96"/>
  <c r="I394" i="96"/>
  <c r="J394" i="96" s="1"/>
  <c r="Q393" i="96"/>
  <c r="M392" i="96"/>
  <c r="N392" i="96" s="1"/>
  <c r="I392" i="96"/>
  <c r="O392" i="96" s="1"/>
  <c r="Q391" i="96"/>
  <c r="M390" i="96"/>
  <c r="I390" i="96"/>
  <c r="J390" i="96" s="1"/>
  <c r="Q389" i="96"/>
  <c r="L388" i="96"/>
  <c r="M388" i="96" s="1"/>
  <c r="K388" i="96"/>
  <c r="H388" i="96"/>
  <c r="G388" i="96"/>
  <c r="D388" i="96"/>
  <c r="Q387" i="96"/>
  <c r="Q386" i="96"/>
  <c r="Q385" i="96"/>
  <c r="Q384" i="96"/>
  <c r="Q383" i="96"/>
  <c r="Q382" i="96"/>
  <c r="Q381" i="96"/>
  <c r="Q380" i="96"/>
  <c r="Q379" i="96"/>
  <c r="Q378" i="96"/>
  <c r="Q377" i="96"/>
  <c r="Q376" i="96"/>
  <c r="Q375" i="96"/>
  <c r="Q374" i="96"/>
  <c r="Q373" i="96"/>
  <c r="Q372" i="96"/>
  <c r="Q371" i="96"/>
  <c r="Q370" i="96"/>
  <c r="Q369" i="96"/>
  <c r="Q368" i="96"/>
  <c r="Q367" i="96"/>
  <c r="Q366" i="96"/>
  <c r="Q365" i="96"/>
  <c r="Q364" i="96"/>
  <c r="Q363" i="96"/>
  <c r="Q362" i="96"/>
  <c r="Q361" i="96"/>
  <c r="Q360" i="96"/>
  <c r="Q359" i="96"/>
  <c r="Q358" i="96"/>
  <c r="Q357" i="96"/>
  <c r="Q356" i="96"/>
  <c r="Q355" i="96"/>
  <c r="Q353" i="96"/>
  <c r="Q352" i="96"/>
  <c r="L351" i="96"/>
  <c r="K351" i="96"/>
  <c r="H351" i="96"/>
  <c r="G351" i="96"/>
  <c r="D351" i="96"/>
  <c r="Q350" i="96"/>
  <c r="M349" i="96"/>
  <c r="I349" i="96"/>
  <c r="J349" i="96" s="1"/>
  <c r="Q348" i="96"/>
  <c r="Q347" i="96"/>
  <c r="L346" i="96"/>
  <c r="K346" i="96"/>
  <c r="M346" i="96" s="1"/>
  <c r="H346" i="96"/>
  <c r="G346" i="96"/>
  <c r="I346" i="96" s="1"/>
  <c r="J346" i="96" s="1"/>
  <c r="D346" i="96"/>
  <c r="Q345" i="96"/>
  <c r="Q344" i="96"/>
  <c r="L343" i="96"/>
  <c r="K343" i="96"/>
  <c r="H343" i="96"/>
  <c r="H354" i="96" s="1"/>
  <c r="G343" i="96"/>
  <c r="D343" i="96"/>
  <c r="Q342" i="96"/>
  <c r="M341" i="96"/>
  <c r="Q341" i="96" s="1"/>
  <c r="I341" i="96"/>
  <c r="Q340" i="96"/>
  <c r="M339" i="96"/>
  <c r="Q339" i="96" s="1"/>
  <c r="J339" i="96"/>
  <c r="I339" i="96"/>
  <c r="O339" i="96" s="1"/>
  <c r="Q338" i="96"/>
  <c r="M337" i="96"/>
  <c r="I337" i="96"/>
  <c r="J337" i="96" s="1"/>
  <c r="Q336" i="96"/>
  <c r="Q335" i="96"/>
  <c r="O334" i="96"/>
  <c r="M334" i="96"/>
  <c r="I334" i="96"/>
  <c r="J334" i="96" s="1"/>
  <c r="Q333" i="96"/>
  <c r="Q332" i="96"/>
  <c r="L331" i="96"/>
  <c r="K331" i="96"/>
  <c r="M331" i="96" s="1"/>
  <c r="H331" i="96"/>
  <c r="G331" i="96"/>
  <c r="I331" i="96" s="1"/>
  <c r="D331" i="96"/>
  <c r="Q330" i="96"/>
  <c r="Q329" i="96"/>
  <c r="Q328" i="96"/>
  <c r="Q327" i="96"/>
  <c r="Q326" i="96"/>
  <c r="Q325" i="96"/>
  <c r="Q324" i="96"/>
  <c r="Q323" i="96"/>
  <c r="Q322" i="96"/>
  <c r="Q321" i="96"/>
  <c r="Q320" i="96"/>
  <c r="Q319" i="96"/>
  <c r="Q318" i="96"/>
  <c r="Q317" i="96"/>
  <c r="Q316" i="96"/>
  <c r="Q315" i="96"/>
  <c r="Q314" i="96"/>
  <c r="Q313" i="96"/>
  <c r="Q312" i="96"/>
  <c r="Q311" i="96"/>
  <c r="Q310" i="96"/>
  <c r="Q309" i="96"/>
  <c r="Q308" i="96"/>
  <c r="Q307" i="96"/>
  <c r="Q306" i="96"/>
  <c r="Q305" i="96"/>
  <c r="Q304" i="96"/>
  <c r="Q303" i="96"/>
  <c r="Q302" i="96"/>
  <c r="Q301" i="96"/>
  <c r="Q300" i="96"/>
  <c r="Q299" i="96"/>
  <c r="N298" i="96"/>
  <c r="L298" i="96"/>
  <c r="K298" i="96"/>
  <c r="M298" i="96" s="1"/>
  <c r="H298" i="96"/>
  <c r="G298" i="96"/>
  <c r="D298" i="96"/>
  <c r="Q297" i="96"/>
  <c r="M296" i="96"/>
  <c r="Q296" i="96" s="1"/>
  <c r="J296" i="96"/>
  <c r="I296" i="96"/>
  <c r="O296" i="96" s="1"/>
  <c r="Q295" i="96"/>
  <c r="Q294" i="96"/>
  <c r="L293" i="96"/>
  <c r="K293" i="96"/>
  <c r="H293" i="96"/>
  <c r="G293" i="96"/>
  <c r="D293" i="96"/>
  <c r="Q292" i="96"/>
  <c r="Q291" i="96"/>
  <c r="L290" i="96"/>
  <c r="K290" i="96"/>
  <c r="I290" i="96"/>
  <c r="J290" i="96" s="1"/>
  <c r="H290" i="96"/>
  <c r="G290" i="96"/>
  <c r="D290" i="96"/>
  <c r="Q289" i="96"/>
  <c r="M288" i="96"/>
  <c r="I288" i="96"/>
  <c r="J288" i="96" s="1"/>
  <c r="Q287" i="96"/>
  <c r="M286" i="96"/>
  <c r="Q286" i="96" s="1"/>
  <c r="I286" i="96"/>
  <c r="O286" i="96" s="1"/>
  <c r="Q285" i="96"/>
  <c r="M284" i="96"/>
  <c r="I284" i="96"/>
  <c r="J284" i="96" s="1"/>
  <c r="Q283" i="96"/>
  <c r="M282" i="96"/>
  <c r="I282" i="96"/>
  <c r="M281" i="96"/>
  <c r="I281" i="96"/>
  <c r="J281" i="96" s="1"/>
  <c r="Q280" i="96"/>
  <c r="N279" i="96"/>
  <c r="M279" i="96"/>
  <c r="Q279" i="96" s="1"/>
  <c r="I279" i="96"/>
  <c r="O279" i="96" s="1"/>
  <c r="Q278" i="96"/>
  <c r="L277" i="96"/>
  <c r="K277" i="96"/>
  <c r="M277" i="96" s="1"/>
  <c r="H277" i="96"/>
  <c r="G277" i="96"/>
  <c r="I277" i="96" s="1"/>
  <c r="J277" i="96" s="1"/>
  <c r="D277" i="96"/>
  <c r="Q276" i="96"/>
  <c r="Q275" i="96"/>
  <c r="Q274" i="96"/>
  <c r="Q273" i="96"/>
  <c r="Q272" i="96"/>
  <c r="Q271" i="96"/>
  <c r="Q270" i="96"/>
  <c r="Q269" i="96"/>
  <c r="Q268" i="96"/>
  <c r="Q267" i="96"/>
  <c r="Q266" i="96"/>
  <c r="Q265" i="96"/>
  <c r="Q264" i="96"/>
  <c r="Q263" i="96"/>
  <c r="Q262" i="96"/>
  <c r="Q261" i="96"/>
  <c r="Q260" i="96"/>
  <c r="Q259" i="96"/>
  <c r="Q258" i="96"/>
  <c r="Q257" i="96"/>
  <c r="Q256" i="96"/>
  <c r="Q255" i="96"/>
  <c r="Q254" i="96"/>
  <c r="H250" i="96"/>
  <c r="H244" i="96" s="1"/>
  <c r="E250" i="96"/>
  <c r="D250" i="96"/>
  <c r="F250" i="96" s="1"/>
  <c r="L244" i="96"/>
  <c r="F248" i="96"/>
  <c r="F246" i="96"/>
  <c r="F244" i="96"/>
  <c r="E244" i="96"/>
  <c r="D244" i="96"/>
  <c r="L242" i="96"/>
  <c r="H242" i="96"/>
  <c r="E242" i="96"/>
  <c r="D242" i="96"/>
  <c r="F240" i="96"/>
  <c r="L238" i="96"/>
  <c r="H238" i="96"/>
  <c r="D238" i="96"/>
  <c r="F238" i="96" s="1"/>
  <c r="E236" i="96"/>
  <c r="E228" i="96" s="1"/>
  <c r="D236" i="96"/>
  <c r="F234" i="96"/>
  <c r="F232" i="96"/>
  <c r="F230" i="96"/>
  <c r="D228" i="96"/>
  <c r="E226" i="96"/>
  <c r="E220" i="96" s="1"/>
  <c r="D226" i="96"/>
  <c r="D220" i="96" s="1"/>
  <c r="F220" i="96" s="1"/>
  <c r="L226" i="96"/>
  <c r="L220" i="96" s="1"/>
  <c r="H226" i="96"/>
  <c r="H220" i="96" s="1"/>
  <c r="F224" i="96"/>
  <c r="F222" i="96"/>
  <c r="L218" i="96"/>
  <c r="H218" i="96"/>
  <c r="E218" i="96"/>
  <c r="D218" i="96"/>
  <c r="F216" i="96"/>
  <c r="L214" i="96"/>
  <c r="H214" i="96"/>
  <c r="E214" i="96"/>
  <c r="D214" i="96"/>
  <c r="F214" i="96" s="1"/>
  <c r="L212" i="96"/>
  <c r="H212" i="96"/>
  <c r="E212" i="96"/>
  <c r="D212" i="96"/>
  <c r="F212" i="96" s="1"/>
  <c r="F210" i="96"/>
  <c r="F208" i="96"/>
  <c r="F206" i="96"/>
  <c r="F204" i="96"/>
  <c r="I203" i="96"/>
  <c r="F202" i="96"/>
  <c r="L200" i="96"/>
  <c r="H200" i="96"/>
  <c r="F200" i="96"/>
  <c r="D200" i="96"/>
  <c r="L198" i="96"/>
  <c r="H198" i="96"/>
  <c r="E198" i="96"/>
  <c r="D198" i="96"/>
  <c r="D253" i="96" s="1"/>
  <c r="F196" i="96"/>
  <c r="F194" i="96"/>
  <c r="L192" i="96"/>
  <c r="H192" i="96"/>
  <c r="D192" i="96"/>
  <c r="L190" i="96"/>
  <c r="H190" i="96"/>
  <c r="D190" i="96"/>
  <c r="F188" i="96"/>
  <c r="F190" i="96" s="1"/>
  <c r="L186" i="96"/>
  <c r="H186" i="96"/>
  <c r="D186" i="96"/>
  <c r="F186" i="96" s="1"/>
  <c r="Q180" i="96"/>
  <c r="E179" i="96"/>
  <c r="D179" i="96"/>
  <c r="F177" i="96"/>
  <c r="F175" i="96"/>
  <c r="L179" i="96"/>
  <c r="F173" i="96"/>
  <c r="F171" i="96"/>
  <c r="L169" i="96"/>
  <c r="L167" i="96" s="1"/>
  <c r="H169" i="96"/>
  <c r="D169" i="96"/>
  <c r="F169" i="96" s="1"/>
  <c r="F167" i="96" s="1"/>
  <c r="E167" i="96"/>
  <c r="Q162" i="96"/>
  <c r="L159" i="96"/>
  <c r="H159" i="96"/>
  <c r="E159" i="96"/>
  <c r="D159" i="96"/>
  <c r="F157" i="96"/>
  <c r="F159" i="96" s="1"/>
  <c r="L155" i="96"/>
  <c r="H155" i="96"/>
  <c r="D155" i="96"/>
  <c r="F155" i="96" s="1"/>
  <c r="H153" i="96"/>
  <c r="F153" i="96"/>
  <c r="E153" i="96"/>
  <c r="D153" i="96"/>
  <c r="F151" i="96"/>
  <c r="H149" i="96"/>
  <c r="D149" i="96"/>
  <c r="F149" i="96" s="1"/>
  <c r="F147" i="96"/>
  <c r="E147" i="96"/>
  <c r="D147" i="96"/>
  <c r="F146" i="96"/>
  <c r="F144" i="96"/>
  <c r="H147" i="96"/>
  <c r="F142" i="96"/>
  <c r="F140" i="96" s="1"/>
  <c r="H140" i="96"/>
  <c r="E140" i="96"/>
  <c r="D140" i="96"/>
  <c r="L139" i="96"/>
  <c r="H139" i="96"/>
  <c r="D139" i="96"/>
  <c r="F137" i="96"/>
  <c r="F135" i="96"/>
  <c r="L133" i="96"/>
  <c r="H133" i="96"/>
  <c r="E133" i="96"/>
  <c r="D133" i="96"/>
  <c r="D131" i="96" s="1"/>
  <c r="Q127" i="96"/>
  <c r="E126" i="96"/>
  <c r="D126" i="96"/>
  <c r="D118" i="96" s="1"/>
  <c r="F124" i="96"/>
  <c r="F122" i="96"/>
  <c r="F120" i="96"/>
  <c r="Q116" i="96"/>
  <c r="Q114" i="96"/>
  <c r="L113" i="96"/>
  <c r="L103" i="96" s="1"/>
  <c r="H113" i="96"/>
  <c r="H103" i="96" s="1"/>
  <c r="F113" i="96"/>
  <c r="E113" i="96"/>
  <c r="E103" i="96" s="1"/>
  <c r="D113" i="96"/>
  <c r="F111" i="96"/>
  <c r="F109" i="96"/>
  <c r="F107" i="96"/>
  <c r="D105" i="96"/>
  <c r="F105" i="96" s="1"/>
  <c r="D103" i="96"/>
  <c r="Q101" i="96"/>
  <c r="Q99" i="96"/>
  <c r="L96" i="96"/>
  <c r="H96" i="96"/>
  <c r="D96" i="96"/>
  <c r="F95" i="96"/>
  <c r="L93" i="96"/>
  <c r="H93" i="96"/>
  <c r="E93" i="96"/>
  <c r="E98" i="96" s="1"/>
  <c r="E82" i="96" s="1"/>
  <c r="D93" i="96"/>
  <c r="L91" i="96"/>
  <c r="L83" i="96" s="1"/>
  <c r="D91" i="96"/>
  <c r="F89" i="96"/>
  <c r="F87" i="96"/>
  <c r="F85" i="96"/>
  <c r="D83" i="96"/>
  <c r="D98" i="96" s="1"/>
  <c r="F98" i="96" s="1"/>
  <c r="D82" i="96"/>
  <c r="F82" i="96" s="1"/>
  <c r="Q78" i="96"/>
  <c r="L77" i="96"/>
  <c r="L67" i="96" s="1"/>
  <c r="H77" i="96"/>
  <c r="H67" i="96" s="1"/>
  <c r="E77" i="96"/>
  <c r="D77" i="96"/>
  <c r="F77" i="96" s="1"/>
  <c r="F75" i="96"/>
  <c r="F73" i="96"/>
  <c r="F71" i="96"/>
  <c r="L69" i="96"/>
  <c r="H69" i="96"/>
  <c r="D69" i="96"/>
  <c r="F69" i="96" s="1"/>
  <c r="E67" i="96"/>
  <c r="Q63" i="96"/>
  <c r="L62" i="96"/>
  <c r="L52" i="96" s="1"/>
  <c r="E62" i="96"/>
  <c r="E52" i="96" s="1"/>
  <c r="D62" i="96"/>
  <c r="D52" i="96" s="1"/>
  <c r="F60" i="96"/>
  <c r="F58" i="96"/>
  <c r="H54" i="96"/>
  <c r="F56" i="96"/>
  <c r="D54" i="96"/>
  <c r="F54" i="96" s="1"/>
  <c r="Q51" i="96"/>
  <c r="Q48" i="96"/>
  <c r="E47" i="96"/>
  <c r="D45" i="96"/>
  <c r="F45" i="96" s="1"/>
  <c r="F43" i="96"/>
  <c r="F41" i="96"/>
  <c r="L45" i="96"/>
  <c r="L47" i="96" s="1"/>
  <c r="H45" i="96"/>
  <c r="H47" i="96" s="1"/>
  <c r="F39" i="96"/>
  <c r="L37" i="96"/>
  <c r="H37" i="96"/>
  <c r="D37" i="96"/>
  <c r="F37" i="96" s="1"/>
  <c r="E35" i="96"/>
  <c r="Q31" i="96"/>
  <c r="D30" i="96"/>
  <c r="L28" i="96"/>
  <c r="H28" i="96"/>
  <c r="E28" i="96"/>
  <c r="D28" i="96"/>
  <c r="F26" i="96"/>
  <c r="L24" i="96"/>
  <c r="H24" i="96"/>
  <c r="D24" i="96"/>
  <c r="F24" i="96" s="1"/>
  <c r="L22" i="96"/>
  <c r="H22" i="96"/>
  <c r="D22" i="96"/>
  <c r="F20" i="96"/>
  <c r="F18" i="96"/>
  <c r="F16" i="96"/>
  <c r="L14" i="96"/>
  <c r="H14" i="96"/>
  <c r="D14" i="96"/>
  <c r="F14" i="96" s="1"/>
  <c r="F12" i="96"/>
  <c r="F30" i="96" s="1"/>
  <c r="E12" i="96"/>
  <c r="E30" i="96" s="1"/>
  <c r="D12" i="96"/>
  <c r="H39" i="90"/>
  <c r="L39" i="90"/>
  <c r="F103" i="96" l="1"/>
  <c r="N286" i="96"/>
  <c r="F62" i="96"/>
  <c r="F198" i="96"/>
  <c r="N296" i="96"/>
  <c r="N339" i="96"/>
  <c r="F83" i="96"/>
  <c r="Q282" i="96"/>
  <c r="O401" i="96"/>
  <c r="J444" i="96"/>
  <c r="D21" i="97"/>
  <c r="D67" i="96"/>
  <c r="F67" i="96" s="1"/>
  <c r="D167" i="96"/>
  <c r="G354" i="96"/>
  <c r="O390" i="96"/>
  <c r="I412" i="96"/>
  <c r="Q412" i="96" s="1"/>
  <c r="J452" i="96"/>
  <c r="L354" i="96"/>
  <c r="I293" i="96"/>
  <c r="J293" i="96" s="1"/>
  <c r="M351" i="96"/>
  <c r="Q444" i="96"/>
  <c r="D47" i="96"/>
  <c r="F47" i="96" s="1"/>
  <c r="E131" i="96"/>
  <c r="M293" i="96"/>
  <c r="N293" i="96" s="1"/>
  <c r="J392" i="96"/>
  <c r="M417" i="96"/>
  <c r="Q417" i="96" s="1"/>
  <c r="Q452" i="96"/>
  <c r="E184" i="96"/>
  <c r="J279" i="96"/>
  <c r="O284" i="96"/>
  <c r="J399" i="96"/>
  <c r="O337" i="96"/>
  <c r="I343" i="96"/>
  <c r="J343" i="96" s="1"/>
  <c r="I442" i="96"/>
  <c r="I450" i="96"/>
  <c r="Q392" i="96"/>
  <c r="F133" i="96"/>
  <c r="F131" i="96" s="1"/>
  <c r="J286" i="96"/>
  <c r="M290" i="96"/>
  <c r="M442" i="96"/>
  <c r="O454" i="96"/>
  <c r="L35" i="96"/>
  <c r="H161" i="96"/>
  <c r="L12" i="96"/>
  <c r="L30" i="96" s="1"/>
  <c r="H12" i="96"/>
  <c r="H30" i="96" s="1"/>
  <c r="N331" i="96"/>
  <c r="Q331" i="96"/>
  <c r="J456" i="96"/>
  <c r="O456" i="96"/>
  <c r="N290" i="96"/>
  <c r="Q290" i="96"/>
  <c r="L82" i="96"/>
  <c r="L98" i="96"/>
  <c r="Q277" i="96"/>
  <c r="N277" i="96"/>
  <c r="H35" i="96"/>
  <c r="H62" i="96"/>
  <c r="H131" i="96"/>
  <c r="N394" i="96"/>
  <c r="Q394" i="96"/>
  <c r="J417" i="96"/>
  <c r="N446" i="96"/>
  <c r="Q446" i="96"/>
  <c r="F28" i="96"/>
  <c r="D35" i="96"/>
  <c r="F35" i="96" s="1"/>
  <c r="L54" i="96"/>
  <c r="F52" i="96"/>
  <c r="F91" i="96"/>
  <c r="L147" i="96"/>
  <c r="L140" i="96"/>
  <c r="H167" i="96"/>
  <c r="D184" i="96"/>
  <c r="F192" i="96"/>
  <c r="F226" i="96"/>
  <c r="L236" i="96"/>
  <c r="L250" i="96"/>
  <c r="I354" i="96"/>
  <c r="Q409" i="96"/>
  <c r="N409" i="96"/>
  <c r="O412" i="96"/>
  <c r="N412" i="96"/>
  <c r="H91" i="96"/>
  <c r="H83" i="96" s="1"/>
  <c r="L126" i="96"/>
  <c r="D161" i="96"/>
  <c r="F161" i="96" s="1"/>
  <c r="F139" i="96"/>
  <c r="Q390" i="96"/>
  <c r="N390" i="96"/>
  <c r="O417" i="96"/>
  <c r="N417" i="96"/>
  <c r="Q442" i="96"/>
  <c r="N442" i="96"/>
  <c r="O448" i="96"/>
  <c r="Q454" i="96"/>
  <c r="N454" i="96"/>
  <c r="F22" i="96"/>
  <c r="F93" i="96"/>
  <c r="F96" i="96"/>
  <c r="H126" i="96"/>
  <c r="H118" i="96" s="1"/>
  <c r="F126" i="96"/>
  <c r="E118" i="96"/>
  <c r="F118" i="96" s="1"/>
  <c r="L153" i="96"/>
  <c r="L149" i="96"/>
  <c r="F218" i="96"/>
  <c r="O288" i="96"/>
  <c r="J331" i="96"/>
  <c r="O331" i="96"/>
  <c r="I351" i="96"/>
  <c r="Q351" i="96" s="1"/>
  <c r="N388" i="96"/>
  <c r="J412" i="96"/>
  <c r="F179" i="96"/>
  <c r="H236" i="96"/>
  <c r="H228" i="96" s="1"/>
  <c r="H184" i="96" s="1"/>
  <c r="F242" i="96"/>
  <c r="N281" i="96"/>
  <c r="Q281" i="96"/>
  <c r="O293" i="96"/>
  <c r="Q293" i="96"/>
  <c r="N351" i="96"/>
  <c r="O397" i="96"/>
  <c r="O407" i="96"/>
  <c r="J442" i="96"/>
  <c r="O442" i="96"/>
  <c r="H179" i="96"/>
  <c r="E253" i="96"/>
  <c r="F253" i="96" s="1"/>
  <c r="N337" i="96"/>
  <c r="Q337" i="96"/>
  <c r="D354" i="96"/>
  <c r="O346" i="96"/>
  <c r="Q349" i="96"/>
  <c r="N349" i="96"/>
  <c r="J450" i="96"/>
  <c r="O450" i="96"/>
  <c r="N450" i="96"/>
  <c r="Q450" i="96"/>
  <c r="O281" i="96"/>
  <c r="N288" i="96"/>
  <c r="Q288" i="96"/>
  <c r="N334" i="96"/>
  <c r="Q334" i="96"/>
  <c r="O349" i="96"/>
  <c r="I388" i="96"/>
  <c r="O394" i="96"/>
  <c r="N397" i="96"/>
  <c r="Q397" i="96"/>
  <c r="Q407" i="96"/>
  <c r="N407" i="96"/>
  <c r="F236" i="96"/>
  <c r="O277" i="96"/>
  <c r="Q284" i="96"/>
  <c r="N284" i="96"/>
  <c r="O290" i="96"/>
  <c r="I298" i="96"/>
  <c r="J298" i="96" s="1"/>
  <c r="J341" i="96"/>
  <c r="O341" i="96"/>
  <c r="O343" i="96"/>
  <c r="M343" i="96"/>
  <c r="Q346" i="96"/>
  <c r="N346" i="96"/>
  <c r="K354" i="96"/>
  <c r="M354" i="96" s="1"/>
  <c r="Q401" i="96"/>
  <c r="N401" i="96"/>
  <c r="N403" i="96"/>
  <c r="Q403" i="96"/>
  <c r="O409" i="96"/>
  <c r="N448" i="96"/>
  <c r="Q448" i="96"/>
  <c r="Q456" i="96"/>
  <c r="N456" i="96"/>
  <c r="S252" i="96"/>
  <c r="S249" i="96"/>
  <c r="F459" i="96" l="1"/>
  <c r="O354" i="96"/>
  <c r="F184" i="96"/>
  <c r="L253" i="96"/>
  <c r="H253" i="96"/>
  <c r="N354" i="96"/>
  <c r="Q354" i="96"/>
  <c r="N343" i="96"/>
  <c r="Q343" i="96"/>
  <c r="Q388" i="96"/>
  <c r="J388" i="96"/>
  <c r="O298" i="96"/>
  <c r="O388" i="96"/>
  <c r="Q298" i="96"/>
  <c r="L228" i="96"/>
  <c r="L184" i="96" s="1"/>
  <c r="D459" i="96"/>
  <c r="H52" i="96"/>
  <c r="L131" i="96"/>
  <c r="F228" i="96"/>
  <c r="J351" i="96"/>
  <c r="O351" i="96"/>
  <c r="E459" i="96"/>
  <c r="L118" i="96"/>
  <c r="J354" i="96"/>
  <c r="L161" i="96"/>
  <c r="H98" i="96"/>
  <c r="H82" i="96"/>
  <c r="H459" i="96" l="1"/>
  <c r="L459" i="96"/>
  <c r="S475" i="96" s="1"/>
  <c r="S480" i="96" l="1"/>
  <c r="S460" i="99"/>
  <c r="S254" i="96"/>
  <c r="S476" i="96"/>
  <c r="Q474" i="90" l="1"/>
  <c r="H208" i="90" l="1"/>
  <c r="L208" i="90"/>
  <c r="L214" i="90" l="1"/>
  <c r="M214" i="90" s="1"/>
  <c r="H190" i="90"/>
  <c r="L204" i="90"/>
  <c r="H204" i="90"/>
  <c r="L234" i="90"/>
  <c r="H234" i="90"/>
  <c r="L248" i="90"/>
  <c r="H248" i="90"/>
  <c r="L246" i="90"/>
  <c r="H246" i="90"/>
  <c r="L218" i="90"/>
  <c r="K218" i="90"/>
  <c r="M218" i="90" s="1"/>
  <c r="E218" i="90"/>
  <c r="E214" i="90"/>
  <c r="H218" i="90"/>
  <c r="H214" i="90"/>
  <c r="D214" i="90"/>
  <c r="F214" i="90" s="1"/>
  <c r="D218" i="90"/>
  <c r="M216" i="90"/>
  <c r="K216" i="96" s="1"/>
  <c r="I216" i="90"/>
  <c r="G216" i="96" s="1"/>
  <c r="F216" i="90"/>
  <c r="F218" i="90" s="1"/>
  <c r="D198" i="90"/>
  <c r="D192" i="90"/>
  <c r="F192" i="90" s="1"/>
  <c r="D190" i="90"/>
  <c r="K190" i="90"/>
  <c r="L190" i="90"/>
  <c r="G190" i="90"/>
  <c r="F188" i="90"/>
  <c r="F190" i="90" s="1"/>
  <c r="L186" i="90"/>
  <c r="H186" i="90"/>
  <c r="D186" i="90"/>
  <c r="F186" i="90" s="1"/>
  <c r="L58" i="90"/>
  <c r="L56" i="90"/>
  <c r="N218" i="90" l="1"/>
  <c r="O218" i="90"/>
  <c r="K214" i="96"/>
  <c r="M214" i="96" s="1"/>
  <c r="K218" i="96"/>
  <c r="M218" i="96" s="1"/>
  <c r="O218" i="96" s="1"/>
  <c r="M216" i="96"/>
  <c r="I216" i="96"/>
  <c r="G214" i="96"/>
  <c r="I214" i="96" s="1"/>
  <c r="J214" i="96" s="1"/>
  <c r="G218" i="96"/>
  <c r="I218" i="96" s="1"/>
  <c r="J218" i="96" s="1"/>
  <c r="Q216" i="90"/>
  <c r="G218" i="90"/>
  <c r="I218" i="90" s="1"/>
  <c r="Q218" i="90" s="1"/>
  <c r="G214" i="90"/>
  <c r="I214" i="90" s="1"/>
  <c r="J214" i="90" s="1"/>
  <c r="O214" i="90"/>
  <c r="O216" i="90"/>
  <c r="J216" i="90"/>
  <c r="M190" i="90"/>
  <c r="I190" i="90"/>
  <c r="J190" i="90" s="1"/>
  <c r="N214" i="90"/>
  <c r="N216" i="90"/>
  <c r="K186" i="90"/>
  <c r="M186" i="90" s="1"/>
  <c r="N186" i="90" s="1"/>
  <c r="M188" i="90"/>
  <c r="G186" i="90"/>
  <c r="I186" i="90" s="1"/>
  <c r="J186" i="90" s="1"/>
  <c r="I188" i="90"/>
  <c r="J188" i="90" l="1"/>
  <c r="G188" i="96"/>
  <c r="N216" i="96"/>
  <c r="K216" i="99"/>
  <c r="Q216" i="96"/>
  <c r="O216" i="96"/>
  <c r="O188" i="90"/>
  <c r="K188" i="96"/>
  <c r="G216" i="99"/>
  <c r="J216" i="96"/>
  <c r="Q214" i="96"/>
  <c r="N214" i="96"/>
  <c r="O214" i="96"/>
  <c r="J218" i="90"/>
  <c r="Q214" i="90"/>
  <c r="N188" i="90"/>
  <c r="O186" i="90"/>
  <c r="Q186" i="90"/>
  <c r="Q188" i="90"/>
  <c r="G214" i="99" l="1"/>
  <c r="I214" i="99" s="1"/>
  <c r="J214" i="99" s="1"/>
  <c r="I216" i="99"/>
  <c r="J216" i="99" s="1"/>
  <c r="G218" i="99"/>
  <c r="I218" i="99" s="1"/>
  <c r="J218" i="99" s="1"/>
  <c r="K190" i="96"/>
  <c r="M190" i="96" s="1"/>
  <c r="M188" i="96"/>
  <c r="K186" i="96"/>
  <c r="G190" i="96"/>
  <c r="I190" i="96" s="1"/>
  <c r="J190" i="96" s="1"/>
  <c r="I188" i="96"/>
  <c r="G186" i="96"/>
  <c r="I186" i="96" s="1"/>
  <c r="J186" i="96" s="1"/>
  <c r="K214" i="99"/>
  <c r="M214" i="99" s="1"/>
  <c r="K218" i="99"/>
  <c r="M216" i="99"/>
  <c r="L120" i="90"/>
  <c r="J188" i="96" l="1"/>
  <c r="G188" i="99"/>
  <c r="Q216" i="99"/>
  <c r="O216" i="99"/>
  <c r="N216" i="99"/>
  <c r="O188" i="96"/>
  <c r="K188" i="99"/>
  <c r="N188" i="96"/>
  <c r="Q188" i="96"/>
  <c r="N214" i="99"/>
  <c r="O214" i="99"/>
  <c r="Q214" i="99"/>
  <c r="M186" i="96"/>
  <c r="L175" i="90"/>
  <c r="L173" i="90"/>
  <c r="H175" i="90"/>
  <c r="H173" i="90"/>
  <c r="H73" i="90"/>
  <c r="M188" i="99" l="1"/>
  <c r="K190" i="99"/>
  <c r="M190" i="99" s="1"/>
  <c r="K186" i="99"/>
  <c r="M186" i="99" s="1"/>
  <c r="O186" i="96"/>
  <c r="Q186" i="96"/>
  <c r="N186" i="96"/>
  <c r="G190" i="99"/>
  <c r="I190" i="99" s="1"/>
  <c r="J190" i="99" s="1"/>
  <c r="G186" i="99"/>
  <c r="I186" i="99" s="1"/>
  <c r="J186" i="99" s="1"/>
  <c r="I188" i="99"/>
  <c r="J188" i="99" s="1"/>
  <c r="L224" i="90"/>
  <c r="H224" i="90"/>
  <c r="L202" i="90"/>
  <c r="H202" i="90"/>
  <c r="L230" i="90"/>
  <c r="H230" i="90"/>
  <c r="O186" i="99" l="1"/>
  <c r="Q186" i="99"/>
  <c r="N186" i="99"/>
  <c r="O188" i="99"/>
  <c r="N188" i="99"/>
  <c r="Q188" i="99"/>
  <c r="L89" i="90"/>
  <c r="L107" i="90" l="1"/>
  <c r="L73" i="90" l="1"/>
  <c r="H89" i="90" l="1"/>
  <c r="H56" i="90"/>
  <c r="L142" i="90" l="1"/>
  <c r="H142" i="90"/>
  <c r="H120" i="90" l="1"/>
  <c r="L54" i="90" l="1"/>
  <c r="Q466" i="90"/>
  <c r="L151" i="90"/>
  <c r="H151" i="90"/>
  <c r="Q465" i="90"/>
  <c r="S462" i="90"/>
  <c r="S466" i="90"/>
  <c r="H248" i="87" l="1"/>
  <c r="L250" i="87"/>
  <c r="L215" i="87"/>
  <c r="L211" i="87"/>
  <c r="L211" i="81" l="1"/>
  <c r="H211" i="81"/>
  <c r="L120" i="81"/>
  <c r="H120" i="81"/>
  <c r="L56" i="87" l="1"/>
  <c r="L54" i="87"/>
  <c r="L56" i="81" l="1"/>
  <c r="H56" i="81"/>
  <c r="L215" i="81"/>
  <c r="H215" i="81"/>
  <c r="H60" i="81"/>
  <c r="Q476" i="81"/>
  <c r="L120" i="87" l="1"/>
  <c r="D17" i="91" l="1"/>
  <c r="D16" i="91"/>
  <c r="D12" i="91"/>
  <c r="D21" i="91" s="1"/>
  <c r="D8" i="91"/>
  <c r="H184" i="87"/>
  <c r="H186" i="87"/>
  <c r="L105" i="84" l="1"/>
  <c r="H107" i="81"/>
  <c r="L105" i="87"/>
  <c r="H105" i="87"/>
  <c r="L18" i="87" l="1"/>
  <c r="L16" i="87"/>
  <c r="L248" i="87" l="1"/>
  <c r="L75" i="84" l="1"/>
  <c r="L75" i="87"/>
  <c r="L186" i="87" l="1"/>
  <c r="L184" i="87"/>
  <c r="H250" i="87" l="1"/>
  <c r="H215" i="87"/>
  <c r="H211" i="87"/>
  <c r="H75" i="87" l="1"/>
  <c r="H73" i="87"/>
  <c r="H75" i="84"/>
  <c r="H73" i="84"/>
  <c r="L225" i="87"/>
  <c r="H225" i="87"/>
  <c r="L73" i="87"/>
  <c r="S249" i="90" l="1"/>
  <c r="Q475" i="90"/>
  <c r="S471" i="90" s="1"/>
  <c r="Q460" i="90"/>
  <c r="Q458" i="90"/>
  <c r="Q457" i="90"/>
  <c r="L456" i="90"/>
  <c r="K456" i="90"/>
  <c r="H456" i="90"/>
  <c r="G456" i="90"/>
  <c r="D456" i="90"/>
  <c r="Q455" i="90"/>
  <c r="M454" i="90"/>
  <c r="N454" i="90" s="1"/>
  <c r="I454" i="90"/>
  <c r="O454" i="90" s="1"/>
  <c r="Q453" i="90"/>
  <c r="M452" i="90"/>
  <c r="N452" i="90" s="1"/>
  <c r="I452" i="90"/>
  <c r="Q451" i="90"/>
  <c r="L450" i="90"/>
  <c r="K450" i="90"/>
  <c r="H450" i="90"/>
  <c r="G450" i="90"/>
  <c r="D450" i="90"/>
  <c r="Q449" i="90"/>
  <c r="L448" i="90"/>
  <c r="K448" i="90"/>
  <c r="H448" i="90"/>
  <c r="G448" i="90"/>
  <c r="D448" i="90"/>
  <c r="Q447" i="90"/>
  <c r="M446" i="90"/>
  <c r="N446" i="90" s="1"/>
  <c r="I446" i="90"/>
  <c r="Q445" i="90"/>
  <c r="M444" i="90"/>
  <c r="I444" i="90"/>
  <c r="J444" i="90" s="1"/>
  <c r="Q443" i="90"/>
  <c r="L442" i="90"/>
  <c r="K442" i="90"/>
  <c r="H442" i="90"/>
  <c r="G442" i="90"/>
  <c r="D442" i="90"/>
  <c r="Q441" i="90"/>
  <c r="Q440" i="90"/>
  <c r="Q439" i="90"/>
  <c r="Q438" i="90"/>
  <c r="Q437" i="90"/>
  <c r="Q436" i="90"/>
  <c r="Q435" i="90"/>
  <c r="Q434" i="90"/>
  <c r="Q433" i="90"/>
  <c r="Q432" i="90"/>
  <c r="Q431" i="90"/>
  <c r="Q430" i="90"/>
  <c r="Q429" i="90"/>
  <c r="Q428" i="90"/>
  <c r="Q427" i="90"/>
  <c r="Q426" i="90"/>
  <c r="Q425" i="90"/>
  <c r="Q424" i="90"/>
  <c r="Q423" i="90"/>
  <c r="Q422" i="90"/>
  <c r="Q421" i="90"/>
  <c r="Q420" i="90"/>
  <c r="Q419" i="90"/>
  <c r="Q418" i="90"/>
  <c r="L417" i="90"/>
  <c r="K417" i="90"/>
  <c r="H417" i="90"/>
  <c r="G417" i="90"/>
  <c r="D417" i="90"/>
  <c r="Q416" i="90"/>
  <c r="M415" i="90"/>
  <c r="N415" i="90" s="1"/>
  <c r="I415" i="90"/>
  <c r="Q414" i="90"/>
  <c r="Q413" i="90"/>
  <c r="L412" i="90"/>
  <c r="K412" i="90"/>
  <c r="H412" i="90"/>
  <c r="G412" i="90"/>
  <c r="D412" i="90"/>
  <c r="Q411" i="90"/>
  <c r="Q410" i="90"/>
  <c r="L409" i="90"/>
  <c r="K409" i="90"/>
  <c r="H409" i="90"/>
  <c r="G409" i="90"/>
  <c r="D409" i="90"/>
  <c r="Q408" i="90"/>
  <c r="M407" i="90"/>
  <c r="N407" i="90" s="1"/>
  <c r="I407" i="90"/>
  <c r="O407" i="90" s="1"/>
  <c r="Q406" i="90"/>
  <c r="M405" i="90"/>
  <c r="N405" i="90" s="1"/>
  <c r="I405" i="90"/>
  <c r="Q404" i="90"/>
  <c r="M403" i="90"/>
  <c r="N403" i="90" s="1"/>
  <c r="I403" i="90"/>
  <c r="O403" i="90" s="1"/>
  <c r="Q402" i="90"/>
  <c r="M401" i="90"/>
  <c r="N401" i="90" s="1"/>
  <c r="I401" i="90"/>
  <c r="O401" i="90" s="1"/>
  <c r="Q400" i="90"/>
  <c r="M399" i="90"/>
  <c r="N399" i="90" s="1"/>
  <c r="I399" i="90"/>
  <c r="Q398" i="90"/>
  <c r="M397" i="90"/>
  <c r="N397" i="90" s="1"/>
  <c r="I397" i="90"/>
  <c r="Q396" i="90"/>
  <c r="Q395" i="90"/>
  <c r="M394" i="90"/>
  <c r="N394" i="90" s="1"/>
  <c r="I394" i="90"/>
  <c r="Q393" i="90"/>
  <c r="M392" i="90"/>
  <c r="I392" i="90"/>
  <c r="J392" i="90" s="1"/>
  <c r="Q391" i="90"/>
  <c r="M390" i="90"/>
  <c r="N390" i="90" s="1"/>
  <c r="I390" i="90"/>
  <c r="O390" i="90" s="1"/>
  <c r="Q389" i="90"/>
  <c r="L388" i="90"/>
  <c r="K388" i="90"/>
  <c r="H388" i="90"/>
  <c r="G388" i="90"/>
  <c r="D388" i="90"/>
  <c r="Q387" i="90"/>
  <c r="Q386" i="90"/>
  <c r="Q385" i="90"/>
  <c r="Q384" i="90"/>
  <c r="Q383" i="90"/>
  <c r="Q382" i="90"/>
  <c r="Q381" i="90"/>
  <c r="Q380" i="90"/>
  <c r="Q379" i="90"/>
  <c r="Q378" i="90"/>
  <c r="Q377" i="90"/>
  <c r="Q376" i="90"/>
  <c r="Q375" i="90"/>
  <c r="Q374" i="90"/>
  <c r="Q373" i="90"/>
  <c r="Q372" i="90"/>
  <c r="Q371" i="90"/>
  <c r="Q370" i="90"/>
  <c r="Q369" i="90"/>
  <c r="Q368" i="90"/>
  <c r="Q367" i="90"/>
  <c r="Q366" i="90"/>
  <c r="Q365" i="90"/>
  <c r="Q364" i="90"/>
  <c r="Q363" i="90"/>
  <c r="Q362" i="90"/>
  <c r="Q361" i="90"/>
  <c r="Q360" i="90"/>
  <c r="Q359" i="90"/>
  <c r="Q358" i="90"/>
  <c r="Q357" i="90"/>
  <c r="Q356" i="90"/>
  <c r="Q355" i="90"/>
  <c r="Q353" i="90"/>
  <c r="Q352" i="90"/>
  <c r="L351" i="90"/>
  <c r="K351" i="90"/>
  <c r="H351" i="90"/>
  <c r="G351" i="90"/>
  <c r="D351" i="90"/>
  <c r="Q350" i="90"/>
  <c r="M349" i="90"/>
  <c r="N349" i="90" s="1"/>
  <c r="I349" i="90"/>
  <c r="O349" i="90" s="1"/>
  <c r="Q348" i="90"/>
  <c r="Q347" i="90"/>
  <c r="L346" i="90"/>
  <c r="K346" i="90"/>
  <c r="H346" i="90"/>
  <c r="G346" i="90"/>
  <c r="D346" i="90"/>
  <c r="Q345" i="90"/>
  <c r="Q344" i="90"/>
  <c r="L343" i="90"/>
  <c r="K343" i="90"/>
  <c r="H343" i="90"/>
  <c r="G343" i="90"/>
  <c r="D343" i="90"/>
  <c r="Q342" i="90"/>
  <c r="M341" i="90"/>
  <c r="I341" i="90"/>
  <c r="O341" i="90" s="1"/>
  <c r="Q340" i="90"/>
  <c r="M339" i="90"/>
  <c r="N339" i="90" s="1"/>
  <c r="I339" i="90"/>
  <c r="Q338" i="90"/>
  <c r="M337" i="90"/>
  <c r="N337" i="90" s="1"/>
  <c r="I337" i="90"/>
  <c r="Q336" i="90"/>
  <c r="Q335" i="90"/>
  <c r="M334" i="90"/>
  <c r="N334" i="90" s="1"/>
  <c r="I334" i="90"/>
  <c r="Q333" i="90"/>
  <c r="Q332" i="90"/>
  <c r="L331" i="90"/>
  <c r="K331" i="90"/>
  <c r="H331" i="90"/>
  <c r="G331" i="90"/>
  <c r="D331" i="90"/>
  <c r="Q330" i="90"/>
  <c r="Q329" i="90"/>
  <c r="Q328" i="90"/>
  <c r="Q327" i="90"/>
  <c r="Q326" i="90"/>
  <c r="Q325" i="90"/>
  <c r="Q324" i="90"/>
  <c r="Q323" i="90"/>
  <c r="Q322" i="90"/>
  <c r="Q321" i="90"/>
  <c r="Q320" i="90"/>
  <c r="Q319" i="90"/>
  <c r="Q318" i="90"/>
  <c r="Q317" i="90"/>
  <c r="Q316" i="90"/>
  <c r="Q315" i="90"/>
  <c r="Q314" i="90"/>
  <c r="Q313" i="90"/>
  <c r="Q312" i="90"/>
  <c r="Q311" i="90"/>
  <c r="Q310" i="90"/>
  <c r="Q309" i="90"/>
  <c r="Q308" i="90"/>
  <c r="Q307" i="90"/>
  <c r="Q306" i="90"/>
  <c r="Q305" i="90"/>
  <c r="Q304" i="90"/>
  <c r="Q303" i="90"/>
  <c r="Q302" i="90"/>
  <c r="Q301" i="90"/>
  <c r="Q300" i="90"/>
  <c r="Q299" i="90"/>
  <c r="L298" i="90"/>
  <c r="K298" i="90"/>
  <c r="H298" i="90"/>
  <c r="G298" i="90"/>
  <c r="D298" i="90"/>
  <c r="Q297" i="90"/>
  <c r="M296" i="90"/>
  <c r="I296" i="90"/>
  <c r="J296" i="90" s="1"/>
  <c r="Q295" i="90"/>
  <c r="Q294" i="90"/>
  <c r="L293" i="90"/>
  <c r="K293" i="90"/>
  <c r="H293" i="90"/>
  <c r="G293" i="90"/>
  <c r="D293" i="90"/>
  <c r="Q292" i="90"/>
  <c r="Q291" i="90"/>
  <c r="L290" i="90"/>
  <c r="K290" i="90"/>
  <c r="H290" i="90"/>
  <c r="G290" i="90"/>
  <c r="D290" i="90"/>
  <c r="Q289" i="90"/>
  <c r="M288" i="90"/>
  <c r="N288" i="90" s="1"/>
  <c r="I288" i="90"/>
  <c r="Q287" i="90"/>
  <c r="M286" i="90"/>
  <c r="I286" i="90"/>
  <c r="J286" i="90" s="1"/>
  <c r="Q285" i="90"/>
  <c r="M284" i="90"/>
  <c r="N284" i="90" s="1"/>
  <c r="I284" i="90"/>
  <c r="O284" i="90" s="1"/>
  <c r="Q283" i="90"/>
  <c r="M282" i="90"/>
  <c r="I282" i="90"/>
  <c r="M281" i="90"/>
  <c r="N281" i="90" s="1"/>
  <c r="I281" i="90"/>
  <c r="Q280" i="90"/>
  <c r="M279" i="90"/>
  <c r="I279" i="90"/>
  <c r="J279" i="90" s="1"/>
  <c r="Q278" i="90"/>
  <c r="L277" i="90"/>
  <c r="K277" i="90"/>
  <c r="H277" i="90"/>
  <c r="G277" i="90"/>
  <c r="D277" i="90"/>
  <c r="Q276" i="90"/>
  <c r="Q275" i="90"/>
  <c r="Q274" i="90"/>
  <c r="Q273" i="90"/>
  <c r="Q272" i="90"/>
  <c r="Q271" i="90"/>
  <c r="Q270" i="90"/>
  <c r="Q269" i="90"/>
  <c r="Q268" i="90"/>
  <c r="Q267" i="90"/>
  <c r="Q266" i="90"/>
  <c r="Q265" i="90"/>
  <c r="Q264" i="90"/>
  <c r="Q263" i="90"/>
  <c r="Q262" i="90"/>
  <c r="Q261" i="90"/>
  <c r="Q260" i="90"/>
  <c r="Q259" i="90"/>
  <c r="Q258" i="90"/>
  <c r="Q257" i="90"/>
  <c r="Q256" i="90"/>
  <c r="Q255" i="90"/>
  <c r="Q254" i="90"/>
  <c r="S252" i="90"/>
  <c r="L250" i="90"/>
  <c r="H250" i="90"/>
  <c r="H244" i="90" s="1"/>
  <c r="E250" i="90"/>
  <c r="D250" i="90"/>
  <c r="F248" i="90"/>
  <c r="F246" i="90"/>
  <c r="L244" i="90"/>
  <c r="E244" i="90"/>
  <c r="D244" i="90"/>
  <c r="L242" i="90"/>
  <c r="H242" i="90"/>
  <c r="E242" i="90"/>
  <c r="D242" i="90"/>
  <c r="F240" i="90"/>
  <c r="F242" i="90" s="1"/>
  <c r="L238" i="90"/>
  <c r="H238" i="90"/>
  <c r="D238" i="90"/>
  <c r="F238" i="90" s="1"/>
  <c r="E236" i="90"/>
  <c r="E228" i="90" s="1"/>
  <c r="D236" i="90"/>
  <c r="F234" i="90"/>
  <c r="F232" i="90"/>
  <c r="L236" i="90"/>
  <c r="L228" i="90" s="1"/>
  <c r="H236" i="90"/>
  <c r="H228" i="90" s="1"/>
  <c r="F230" i="90"/>
  <c r="L226" i="90"/>
  <c r="E226" i="90"/>
  <c r="E220" i="90" s="1"/>
  <c r="D226" i="90"/>
  <c r="H226" i="90"/>
  <c r="H220" i="90" s="1"/>
  <c r="F224" i="90"/>
  <c r="F222" i="90"/>
  <c r="D220" i="90"/>
  <c r="L212" i="90"/>
  <c r="H212" i="90"/>
  <c r="E212" i="90"/>
  <c r="D212" i="90"/>
  <c r="F210" i="90"/>
  <c r="F208" i="90"/>
  <c r="F206" i="90"/>
  <c r="F204" i="90"/>
  <c r="I203" i="90"/>
  <c r="L200" i="90"/>
  <c r="F202" i="90"/>
  <c r="H200" i="90"/>
  <c r="D200" i="90"/>
  <c r="F200" i="90" s="1"/>
  <c r="L198" i="90"/>
  <c r="H198" i="90"/>
  <c r="E198" i="90"/>
  <c r="F198" i="90" s="1"/>
  <c r="F196" i="90"/>
  <c r="F194" i="90"/>
  <c r="L192" i="90"/>
  <c r="H192" i="90"/>
  <c r="Q180" i="90"/>
  <c r="L179" i="90"/>
  <c r="E179" i="90"/>
  <c r="D179" i="90"/>
  <c r="F177" i="90"/>
  <c r="F175" i="90"/>
  <c r="F173" i="90"/>
  <c r="F171" i="90"/>
  <c r="L169" i="90"/>
  <c r="L167" i="90" s="1"/>
  <c r="D169" i="90"/>
  <c r="D167" i="90" s="1"/>
  <c r="E167" i="90"/>
  <c r="Q162" i="90"/>
  <c r="L159" i="90"/>
  <c r="H159" i="90"/>
  <c r="E159" i="90"/>
  <c r="D159" i="90"/>
  <c r="F157" i="90"/>
  <c r="F159" i="90" s="1"/>
  <c r="L155" i="90"/>
  <c r="H155" i="90"/>
  <c r="D155" i="90"/>
  <c r="F155" i="90" s="1"/>
  <c r="L153" i="90"/>
  <c r="H153" i="90"/>
  <c r="E153" i="90"/>
  <c r="D153" i="90"/>
  <c r="F151" i="90"/>
  <c r="F153" i="90" s="1"/>
  <c r="L149" i="90"/>
  <c r="H149" i="90"/>
  <c r="D149" i="90"/>
  <c r="F149" i="90" s="1"/>
  <c r="H147" i="90"/>
  <c r="E147" i="90"/>
  <c r="D147" i="90"/>
  <c r="F146" i="90"/>
  <c r="F144" i="90"/>
  <c r="L147" i="90"/>
  <c r="F142" i="90"/>
  <c r="L140" i="90"/>
  <c r="H140" i="90"/>
  <c r="E140" i="90"/>
  <c r="D140" i="90"/>
  <c r="L139" i="90"/>
  <c r="L161" i="90" s="1"/>
  <c r="H139" i="90"/>
  <c r="D139" i="90"/>
  <c r="F137" i="90"/>
  <c r="F135" i="90"/>
  <c r="L133" i="90"/>
  <c r="H133" i="90"/>
  <c r="E133" i="90"/>
  <c r="D133" i="90"/>
  <c r="Q127" i="90"/>
  <c r="L126" i="90"/>
  <c r="L118" i="90" s="1"/>
  <c r="E126" i="90"/>
  <c r="D126" i="90"/>
  <c r="D118" i="90" s="1"/>
  <c r="F124" i="90"/>
  <c r="F122" i="90"/>
  <c r="H126" i="90"/>
  <c r="H118" i="90" s="1"/>
  <c r="F120" i="90"/>
  <c r="Q116" i="90"/>
  <c r="Q114" i="90"/>
  <c r="L113" i="90"/>
  <c r="L103" i="90" s="1"/>
  <c r="H113" i="90"/>
  <c r="H103" i="90" s="1"/>
  <c r="E113" i="90"/>
  <c r="D113" i="90"/>
  <c r="D103" i="90" s="1"/>
  <c r="F111" i="90"/>
  <c r="F109" i="90"/>
  <c r="F107" i="90"/>
  <c r="D105" i="90"/>
  <c r="F105" i="90" s="1"/>
  <c r="Q101" i="90"/>
  <c r="Q99" i="90"/>
  <c r="L96" i="90"/>
  <c r="H96" i="90"/>
  <c r="D96" i="90"/>
  <c r="F95" i="90"/>
  <c r="L93" i="90"/>
  <c r="H93" i="90"/>
  <c r="E93" i="90"/>
  <c r="E98" i="90" s="1"/>
  <c r="E82" i="90" s="1"/>
  <c r="D93" i="90"/>
  <c r="L91" i="90"/>
  <c r="L83" i="90" s="1"/>
  <c r="H91" i="90"/>
  <c r="H83" i="90" s="1"/>
  <c r="D91" i="90"/>
  <c r="F89" i="90"/>
  <c r="F87" i="90"/>
  <c r="F85" i="90"/>
  <c r="D83" i="90"/>
  <c r="Q78" i="90"/>
  <c r="L77" i="90"/>
  <c r="L67" i="90" s="1"/>
  <c r="E77" i="90"/>
  <c r="D77" i="90"/>
  <c r="F75" i="90"/>
  <c r="F73" i="90"/>
  <c r="F71" i="90"/>
  <c r="L69" i="90"/>
  <c r="D69" i="90"/>
  <c r="D67" i="90" s="1"/>
  <c r="Q63" i="90"/>
  <c r="L62" i="90"/>
  <c r="L52" i="90" s="1"/>
  <c r="E62" i="90"/>
  <c r="D62" i="90"/>
  <c r="D52" i="90" s="1"/>
  <c r="F60" i="90"/>
  <c r="F58" i="90"/>
  <c r="F56" i="90"/>
  <c r="D54" i="90"/>
  <c r="F54" i="90" s="1"/>
  <c r="E52" i="90"/>
  <c r="Q51" i="90"/>
  <c r="Q48" i="90"/>
  <c r="E47" i="90"/>
  <c r="L45" i="90"/>
  <c r="L47" i="90" s="1"/>
  <c r="H45" i="90"/>
  <c r="H47" i="90" s="1"/>
  <c r="D45" i="90"/>
  <c r="D47" i="90" s="1"/>
  <c r="F43" i="90"/>
  <c r="F41" i="90"/>
  <c r="F39" i="90"/>
  <c r="L37" i="90"/>
  <c r="H37" i="90"/>
  <c r="D37" i="90"/>
  <c r="F37" i="90" s="1"/>
  <c r="E35" i="90"/>
  <c r="Q31" i="90"/>
  <c r="L28" i="90"/>
  <c r="H28" i="90"/>
  <c r="E28" i="90"/>
  <c r="D28" i="90"/>
  <c r="F26" i="90"/>
  <c r="L24" i="90"/>
  <c r="H24" i="90"/>
  <c r="D24" i="90"/>
  <c r="D22" i="90"/>
  <c r="F20" i="90"/>
  <c r="L22" i="90"/>
  <c r="F18" i="90"/>
  <c r="H22" i="90"/>
  <c r="F16" i="90"/>
  <c r="L14" i="90"/>
  <c r="D14" i="90"/>
  <c r="F14" i="90" s="1"/>
  <c r="E12" i="90"/>
  <c r="E30" i="90" s="1"/>
  <c r="Q476" i="87"/>
  <c r="L231" i="87"/>
  <c r="H231" i="87"/>
  <c r="L209" i="81"/>
  <c r="H209" i="81"/>
  <c r="H209" i="87"/>
  <c r="L209" i="87"/>
  <c r="Q454" i="90" l="1"/>
  <c r="I456" i="90"/>
  <c r="J456" i="90" s="1"/>
  <c r="E131" i="90"/>
  <c r="H253" i="90"/>
  <c r="L253" i="90"/>
  <c r="H161" i="90"/>
  <c r="D131" i="90"/>
  <c r="H131" i="90"/>
  <c r="L131" i="90"/>
  <c r="M448" i="90"/>
  <c r="F139" i="90"/>
  <c r="D161" i="90"/>
  <c r="F250" i="90"/>
  <c r="E184" i="90"/>
  <c r="F47" i="90"/>
  <c r="J341" i="90"/>
  <c r="I346" i="90"/>
  <c r="J346" i="90" s="1"/>
  <c r="Q390" i="90"/>
  <c r="M409" i="90"/>
  <c r="N409" i="90" s="1"/>
  <c r="I442" i="90"/>
  <c r="J442" i="90" s="1"/>
  <c r="F22" i="90"/>
  <c r="D98" i="90"/>
  <c r="F98" i="90" s="1"/>
  <c r="F96" i="90" s="1"/>
  <c r="F113" i="90"/>
  <c r="M298" i="90"/>
  <c r="Q337" i="90"/>
  <c r="Q341" i="90"/>
  <c r="I388" i="90"/>
  <c r="J388" i="90" s="1"/>
  <c r="Q394" i="90"/>
  <c r="I450" i="90"/>
  <c r="O450" i="90" s="1"/>
  <c r="M343" i="90"/>
  <c r="M412" i="90"/>
  <c r="N412" i="90" s="1"/>
  <c r="Q415" i="90"/>
  <c r="F62" i="90"/>
  <c r="F69" i="90"/>
  <c r="J284" i="90"/>
  <c r="G354" i="90"/>
  <c r="J407" i="90"/>
  <c r="Q444" i="90"/>
  <c r="F52" i="90"/>
  <c r="F147" i="90"/>
  <c r="M277" i="90"/>
  <c r="N277" i="90" s="1"/>
  <c r="Q282" i="90"/>
  <c r="M293" i="90"/>
  <c r="N293" i="90" s="1"/>
  <c r="K354" i="90"/>
  <c r="Q392" i="90"/>
  <c r="Q401" i="90"/>
  <c r="I417" i="90"/>
  <c r="O417" i="90" s="1"/>
  <c r="Q281" i="90"/>
  <c r="I293" i="90"/>
  <c r="J293" i="90" s="1"/>
  <c r="I343" i="90"/>
  <c r="J343" i="90" s="1"/>
  <c r="F220" i="90"/>
  <c r="F28" i="90"/>
  <c r="F91" i="90"/>
  <c r="F169" i="90"/>
  <c r="F167" i="90" s="1"/>
  <c r="F212" i="90"/>
  <c r="D253" i="90"/>
  <c r="I277" i="90"/>
  <c r="J277" i="90" s="1"/>
  <c r="Q284" i="90"/>
  <c r="M346" i="90"/>
  <c r="N346" i="90" s="1"/>
  <c r="J349" i="90"/>
  <c r="Q407" i="90"/>
  <c r="I409" i="90"/>
  <c r="J409" i="90" s="1"/>
  <c r="M442" i="90"/>
  <c r="N442" i="90" s="1"/>
  <c r="D30" i="90"/>
  <c r="F83" i="90"/>
  <c r="E103" i="90"/>
  <c r="F103" i="90" s="1"/>
  <c r="F133" i="90"/>
  <c r="Q288" i="90"/>
  <c r="M290" i="90"/>
  <c r="I298" i="90"/>
  <c r="J298" i="90" s="1"/>
  <c r="M331" i="90"/>
  <c r="M388" i="90"/>
  <c r="N388" i="90" s="1"/>
  <c r="J390" i="90"/>
  <c r="Q397" i="90"/>
  <c r="Q399" i="90"/>
  <c r="J401" i="90"/>
  <c r="Q403" i="90"/>
  <c r="Q446" i="90"/>
  <c r="Q452" i="90"/>
  <c r="J454" i="90"/>
  <c r="M456" i="90"/>
  <c r="N456" i="90" s="1"/>
  <c r="F93" i="90"/>
  <c r="O277" i="90"/>
  <c r="I290" i="90"/>
  <c r="J290" i="90" s="1"/>
  <c r="I331" i="90"/>
  <c r="J331" i="90" s="1"/>
  <c r="Q334" i="90"/>
  <c r="Q349" i="90"/>
  <c r="Q405" i="90"/>
  <c r="I412" i="90"/>
  <c r="J412" i="90" s="1"/>
  <c r="M417" i="90"/>
  <c r="N417" i="90" s="1"/>
  <c r="I448" i="90"/>
  <c r="J448" i="90" s="1"/>
  <c r="M450" i="90"/>
  <c r="N450" i="90" s="1"/>
  <c r="L12" i="90"/>
  <c r="L30" i="90" s="1"/>
  <c r="L35" i="90"/>
  <c r="H35" i="90"/>
  <c r="L98" i="90"/>
  <c r="L82" i="90"/>
  <c r="H184" i="90"/>
  <c r="F24" i="90"/>
  <c r="F12" i="90" s="1"/>
  <c r="F244" i="90"/>
  <c r="F179" i="90"/>
  <c r="H69" i="90"/>
  <c r="H77" i="90"/>
  <c r="H67" i="90" s="1"/>
  <c r="H14" i="90"/>
  <c r="H12" i="90" s="1"/>
  <c r="H30" i="90" s="1"/>
  <c r="H459" i="90" s="1"/>
  <c r="E118" i="90"/>
  <c r="F118" i="90" s="1"/>
  <c r="F126" i="90"/>
  <c r="D12" i="90"/>
  <c r="H54" i="90"/>
  <c r="H62" i="90"/>
  <c r="E67" i="90"/>
  <c r="F67" i="90" s="1"/>
  <c r="F77" i="90"/>
  <c r="H98" i="90"/>
  <c r="H82" i="90"/>
  <c r="L220" i="90"/>
  <c r="H354" i="90"/>
  <c r="I351" i="90"/>
  <c r="J351" i="90" s="1"/>
  <c r="F236" i="90"/>
  <c r="D228" i="90"/>
  <c r="D184" i="90" s="1"/>
  <c r="F45" i="90"/>
  <c r="D82" i="90"/>
  <c r="F82" i="90" s="1"/>
  <c r="H179" i="90"/>
  <c r="Q286" i="90"/>
  <c r="N286" i="90"/>
  <c r="Q339" i="90"/>
  <c r="J339" i="90"/>
  <c r="O339" i="90"/>
  <c r="D35" i="90"/>
  <c r="F35" i="90" s="1"/>
  <c r="F161" i="90"/>
  <c r="C20" i="91" s="1"/>
  <c r="F140" i="90"/>
  <c r="H169" i="90"/>
  <c r="Q296" i="90"/>
  <c r="N296" i="90"/>
  <c r="E253" i="90"/>
  <c r="E459" i="90" s="1"/>
  <c r="Q279" i="90"/>
  <c r="N279" i="90"/>
  <c r="N448" i="90"/>
  <c r="F226" i="90"/>
  <c r="D354" i="90"/>
  <c r="L354" i="90"/>
  <c r="M351" i="90"/>
  <c r="O456" i="90"/>
  <c r="S473" i="90"/>
  <c r="O399" i="90"/>
  <c r="O405" i="90"/>
  <c r="O415" i="90"/>
  <c r="O452" i="90"/>
  <c r="O281" i="90"/>
  <c r="O288" i="90"/>
  <c r="O334" i="90"/>
  <c r="O337" i="90"/>
  <c r="N392" i="90"/>
  <c r="O394" i="90"/>
  <c r="O397" i="90"/>
  <c r="J399" i="90"/>
  <c r="J405" i="90"/>
  <c r="J415" i="90"/>
  <c r="N444" i="90"/>
  <c r="O446" i="90"/>
  <c r="J452" i="90"/>
  <c r="O279" i="90"/>
  <c r="J281" i="90"/>
  <c r="O286" i="90"/>
  <c r="J288" i="90"/>
  <c r="O296" i="90"/>
  <c r="J334" i="90"/>
  <c r="J337" i="90"/>
  <c r="O392" i="90"/>
  <c r="J394" i="90"/>
  <c r="J397" i="90"/>
  <c r="O444" i="90"/>
  <c r="J446" i="90"/>
  <c r="C20" i="97" l="1"/>
  <c r="E20" i="97" s="1"/>
  <c r="C13" i="98"/>
  <c r="C13" i="101"/>
  <c r="C20" i="100"/>
  <c r="E20" i="100" s="1"/>
  <c r="E20" i="91"/>
  <c r="O343" i="90"/>
  <c r="J417" i="90"/>
  <c r="Q417" i="90"/>
  <c r="F131" i="90"/>
  <c r="J450" i="90"/>
  <c r="Q343" i="90"/>
  <c r="I354" i="90"/>
  <c r="O354" i="90" s="1"/>
  <c r="O448" i="90"/>
  <c r="Q448" i="90"/>
  <c r="O442" i="90"/>
  <c r="F184" i="90"/>
  <c r="N343" i="90"/>
  <c r="Q277" i="90"/>
  <c r="Q298" i="90"/>
  <c r="O298" i="90"/>
  <c r="Q388" i="90"/>
  <c r="O388" i="90"/>
  <c r="O293" i="90"/>
  <c r="Q409" i="90"/>
  <c r="Q456" i="90"/>
  <c r="Q346" i="90"/>
  <c r="N298" i="90"/>
  <c r="O346" i="90"/>
  <c r="Q293" i="90"/>
  <c r="O409" i="90"/>
  <c r="M354" i="90"/>
  <c r="N354" i="90" s="1"/>
  <c r="Q450" i="90"/>
  <c r="O412" i="90"/>
  <c r="Q331" i="90"/>
  <c r="N331" i="90"/>
  <c r="O290" i="90"/>
  <c r="Q290" i="90"/>
  <c r="N290" i="90"/>
  <c r="Q442" i="90"/>
  <c r="Q412" i="90"/>
  <c r="O331" i="90"/>
  <c r="F253" i="90"/>
  <c r="C19" i="91" s="1"/>
  <c r="L459" i="90"/>
  <c r="S475" i="90" s="1"/>
  <c r="S460" i="96" s="1"/>
  <c r="L184" i="90"/>
  <c r="O351" i="90"/>
  <c r="F228" i="90"/>
  <c r="N351" i="90"/>
  <c r="Q351" i="90"/>
  <c r="H52" i="90"/>
  <c r="H167" i="90"/>
  <c r="F30" i="90"/>
  <c r="D459" i="90"/>
  <c r="C19" i="100" l="1"/>
  <c r="E19" i="100" s="1"/>
  <c r="C19" i="97"/>
  <c r="E19" i="97" s="1"/>
  <c r="C12" i="98"/>
  <c r="C12" i="101"/>
  <c r="E19" i="91"/>
  <c r="S254" i="90"/>
  <c r="S478" i="90"/>
  <c r="J354" i="90"/>
  <c r="Q354" i="90"/>
  <c r="S476" i="90"/>
  <c r="F459" i="90"/>
  <c r="H56" i="87" l="1"/>
  <c r="H16" i="87" l="1"/>
  <c r="H120" i="87" l="1"/>
  <c r="S464" i="87" l="1"/>
  <c r="Q468" i="87"/>
  <c r="L142" i="87" l="1"/>
  <c r="H142" i="87"/>
  <c r="H144" i="84" l="1"/>
  <c r="H137" i="84"/>
  <c r="L18" i="81" l="1"/>
  <c r="H18" i="84"/>
  <c r="L186" i="84"/>
  <c r="L184" i="84"/>
  <c r="L26" i="84" l="1"/>
  <c r="L18" i="84"/>
  <c r="L16" i="84"/>
  <c r="L26" i="81" l="1"/>
  <c r="L16" i="81"/>
  <c r="H26" i="81"/>
  <c r="L164" i="87" l="1"/>
  <c r="H164" i="87"/>
  <c r="S468" i="87"/>
  <c r="S251" i="87" s="1"/>
  <c r="L60" i="84" l="1"/>
  <c r="L56" i="84"/>
  <c r="L124" i="84"/>
  <c r="L120" i="84"/>
  <c r="L137" i="84" l="1"/>
  <c r="L248" i="84" l="1"/>
  <c r="L235" i="84"/>
  <c r="L215" i="84"/>
  <c r="H248" i="84"/>
  <c r="H235" i="84"/>
  <c r="H231" i="84"/>
  <c r="H215" i="84"/>
  <c r="L39" i="84" l="1"/>
  <c r="H39" i="84"/>
  <c r="H186" i="84" l="1"/>
  <c r="H184" i="84"/>
  <c r="L225" i="84" l="1"/>
  <c r="H225" i="84"/>
  <c r="L87" i="84" l="1"/>
  <c r="L231" i="84" l="1"/>
  <c r="H209" i="84" l="1"/>
  <c r="L209" i="84"/>
  <c r="L73" i="84"/>
  <c r="Q467" i="87" l="1"/>
  <c r="D17" i="88" l="1"/>
  <c r="D16" i="88"/>
  <c r="D12" i="88"/>
  <c r="D8" i="88"/>
  <c r="Q477" i="87"/>
  <c r="S473" i="87" s="1"/>
  <c r="Q462" i="87"/>
  <c r="Q460" i="87"/>
  <c r="Q459" i="87"/>
  <c r="L458" i="87"/>
  <c r="K458" i="87"/>
  <c r="H458" i="87"/>
  <c r="G458" i="87"/>
  <c r="D458" i="87"/>
  <c r="Q457" i="87"/>
  <c r="M456" i="87"/>
  <c r="Q456" i="87" s="1"/>
  <c r="J456" i="87"/>
  <c r="I456" i="87"/>
  <c r="O456" i="87" s="1"/>
  <c r="Q455" i="87"/>
  <c r="M454" i="87"/>
  <c r="I454" i="87"/>
  <c r="J454" i="87" s="1"/>
  <c r="Q453" i="87"/>
  <c r="L452" i="87"/>
  <c r="K452" i="87"/>
  <c r="H452" i="87"/>
  <c r="G452" i="87"/>
  <c r="I452" i="87" s="1"/>
  <c r="D452" i="87"/>
  <c r="Q451" i="87"/>
  <c r="L450" i="87"/>
  <c r="K450" i="87"/>
  <c r="M450" i="87" s="1"/>
  <c r="H450" i="87"/>
  <c r="G450" i="87"/>
  <c r="D450" i="87"/>
  <c r="Q449" i="87"/>
  <c r="M448" i="87"/>
  <c r="Q448" i="87" s="1"/>
  <c r="J448" i="87"/>
  <c r="I448" i="87"/>
  <c r="O448" i="87" s="1"/>
  <c r="Q447" i="87"/>
  <c r="M446" i="87"/>
  <c r="I446" i="87"/>
  <c r="J446" i="87" s="1"/>
  <c r="Q445" i="87"/>
  <c r="L444" i="87"/>
  <c r="K444" i="87"/>
  <c r="H444" i="87"/>
  <c r="G444" i="87"/>
  <c r="D444" i="87"/>
  <c r="Q443" i="87"/>
  <c r="Q442" i="87"/>
  <c r="Q441" i="87"/>
  <c r="Q440" i="87"/>
  <c r="Q439" i="87"/>
  <c r="Q438" i="87"/>
  <c r="Q437" i="87"/>
  <c r="Q436" i="87"/>
  <c r="Q435" i="87"/>
  <c r="Q434" i="87"/>
  <c r="Q433" i="87"/>
  <c r="Q432" i="87"/>
  <c r="Q431" i="87"/>
  <c r="Q430" i="87"/>
  <c r="Q429" i="87"/>
  <c r="Q428" i="87"/>
  <c r="Q427" i="87"/>
  <c r="Q426" i="87"/>
  <c r="Q425" i="87"/>
  <c r="Q424" i="87"/>
  <c r="Q423" i="87"/>
  <c r="Q422" i="87"/>
  <c r="Q421" i="87"/>
  <c r="Q420" i="87"/>
  <c r="L419" i="87"/>
  <c r="K419" i="87"/>
  <c r="M419" i="87" s="1"/>
  <c r="H419" i="87"/>
  <c r="G419" i="87"/>
  <c r="I419" i="87" s="1"/>
  <c r="D419" i="87"/>
  <c r="Q418" i="87"/>
  <c r="M417" i="87"/>
  <c r="I417" i="87"/>
  <c r="J417" i="87" s="1"/>
  <c r="Q416" i="87"/>
  <c r="Q415" i="87"/>
  <c r="L414" i="87"/>
  <c r="K414" i="87"/>
  <c r="M414" i="87" s="1"/>
  <c r="H414" i="87"/>
  <c r="G414" i="87"/>
  <c r="I414" i="87" s="1"/>
  <c r="J414" i="87" s="1"/>
  <c r="D414" i="87"/>
  <c r="Q413" i="87"/>
  <c r="Q412" i="87"/>
  <c r="L411" i="87"/>
  <c r="K411" i="87"/>
  <c r="H411" i="87"/>
  <c r="G411" i="87"/>
  <c r="I411" i="87" s="1"/>
  <c r="J411" i="87" s="1"/>
  <c r="D411" i="87"/>
  <c r="Q410" i="87"/>
  <c r="N409" i="87"/>
  <c r="M409" i="87"/>
  <c r="I409" i="87"/>
  <c r="O409" i="87" s="1"/>
  <c r="Q408" i="87"/>
  <c r="M407" i="87"/>
  <c r="I407" i="87"/>
  <c r="J407" i="87" s="1"/>
  <c r="Q406" i="87"/>
  <c r="N405" i="87"/>
  <c r="M405" i="87"/>
  <c r="I405" i="87"/>
  <c r="Q404" i="87"/>
  <c r="M403" i="87"/>
  <c r="Q403" i="87" s="1"/>
  <c r="J403" i="87"/>
  <c r="I403" i="87"/>
  <c r="O403" i="87" s="1"/>
  <c r="Q402" i="87"/>
  <c r="M401" i="87"/>
  <c r="I401" i="87"/>
  <c r="J401" i="87" s="1"/>
  <c r="Q400" i="87"/>
  <c r="M399" i="87"/>
  <c r="Q399" i="87" s="1"/>
  <c r="I399" i="87"/>
  <c r="O399" i="87" s="1"/>
  <c r="Q398" i="87"/>
  <c r="Q397" i="87"/>
  <c r="N396" i="87"/>
  <c r="M396" i="87"/>
  <c r="Q396" i="87" s="1"/>
  <c r="I396" i="87"/>
  <c r="O396" i="87" s="1"/>
  <c r="Q395" i="87"/>
  <c r="O394" i="87"/>
  <c r="M394" i="87"/>
  <c r="I394" i="87"/>
  <c r="J394" i="87" s="1"/>
  <c r="Q393" i="87"/>
  <c r="Q392" i="87"/>
  <c r="N392" i="87"/>
  <c r="M392" i="87"/>
  <c r="J392" i="87"/>
  <c r="I392" i="87"/>
  <c r="O392" i="87" s="1"/>
  <c r="Q391" i="87"/>
  <c r="L390" i="87"/>
  <c r="K390" i="87"/>
  <c r="H390" i="87"/>
  <c r="G390" i="87"/>
  <c r="I390" i="87" s="1"/>
  <c r="D390" i="87"/>
  <c r="Q389" i="87"/>
  <c r="Q388" i="87"/>
  <c r="Q387" i="87"/>
  <c r="Q386" i="87"/>
  <c r="Q385" i="87"/>
  <c r="Q384" i="87"/>
  <c r="Q383" i="87"/>
  <c r="Q382" i="87"/>
  <c r="Q381" i="87"/>
  <c r="Q380" i="87"/>
  <c r="Q379" i="87"/>
  <c r="Q378" i="87"/>
  <c r="Q377" i="87"/>
  <c r="Q376" i="87"/>
  <c r="Q375" i="87"/>
  <c r="Q374" i="87"/>
  <c r="Q373" i="87"/>
  <c r="Q372" i="87"/>
  <c r="Q371" i="87"/>
  <c r="Q370" i="87"/>
  <c r="Q369" i="87"/>
  <c r="Q368" i="87"/>
  <c r="Q367" i="87"/>
  <c r="Q366" i="87"/>
  <c r="Q365" i="87"/>
  <c r="Q364" i="87"/>
  <c r="Q363" i="87"/>
  <c r="Q362" i="87"/>
  <c r="Q361" i="87"/>
  <c r="Q360" i="87"/>
  <c r="Q359" i="87"/>
  <c r="Q358" i="87"/>
  <c r="Q357" i="87"/>
  <c r="Q355" i="87"/>
  <c r="Q354" i="87"/>
  <c r="L353" i="87"/>
  <c r="K353" i="87"/>
  <c r="H353" i="87"/>
  <c r="G353" i="87"/>
  <c r="D353" i="87"/>
  <c r="Q352" i="87"/>
  <c r="N351" i="87"/>
  <c r="M351" i="87"/>
  <c r="I351" i="87"/>
  <c r="O351" i="87" s="1"/>
  <c r="Q350" i="87"/>
  <c r="Q349" i="87"/>
  <c r="N348" i="87"/>
  <c r="L348" i="87"/>
  <c r="M348" i="87" s="1"/>
  <c r="K348" i="87"/>
  <c r="H348" i="87"/>
  <c r="G348" i="87"/>
  <c r="D348" i="87"/>
  <c r="Q347" i="87"/>
  <c r="Q346" i="87"/>
  <c r="L345" i="87"/>
  <c r="K345" i="87"/>
  <c r="H345" i="87"/>
  <c r="G345" i="87"/>
  <c r="G356" i="87" s="1"/>
  <c r="D345" i="87"/>
  <c r="Q344" i="87"/>
  <c r="M343" i="87"/>
  <c r="I343" i="87"/>
  <c r="O343" i="87" s="1"/>
  <c r="Q342" i="87"/>
  <c r="M341" i="87"/>
  <c r="I341" i="87"/>
  <c r="J341" i="87" s="1"/>
  <c r="Q340" i="87"/>
  <c r="Q339" i="87"/>
  <c r="N339" i="87"/>
  <c r="M339" i="87"/>
  <c r="I339" i="87"/>
  <c r="O339" i="87" s="1"/>
  <c r="Q338" i="87"/>
  <c r="Q337" i="87"/>
  <c r="Q336" i="87"/>
  <c r="M336" i="87"/>
  <c r="N336" i="87" s="1"/>
  <c r="J336" i="87"/>
  <c r="I336" i="87"/>
  <c r="O336" i="87" s="1"/>
  <c r="Q335" i="87"/>
  <c r="Q334" i="87"/>
  <c r="L333" i="87"/>
  <c r="K333" i="87"/>
  <c r="H333" i="87"/>
  <c r="G333" i="87"/>
  <c r="D333" i="87"/>
  <c r="Q332" i="87"/>
  <c r="Q331" i="87"/>
  <c r="Q330" i="87"/>
  <c r="Q329" i="87"/>
  <c r="Q328" i="87"/>
  <c r="Q327" i="87"/>
  <c r="Q326" i="87"/>
  <c r="Q325" i="87"/>
  <c r="Q324" i="87"/>
  <c r="Q323" i="87"/>
  <c r="Q322" i="87"/>
  <c r="Q321" i="87"/>
  <c r="Q320" i="87"/>
  <c r="Q319" i="87"/>
  <c r="Q318" i="87"/>
  <c r="Q317" i="87"/>
  <c r="Q316" i="87"/>
  <c r="Q315" i="87"/>
  <c r="Q314" i="87"/>
  <c r="Q313" i="87"/>
  <c r="Q312" i="87"/>
  <c r="Q311" i="87"/>
  <c r="Q310" i="87"/>
  <c r="Q309" i="87"/>
  <c r="Q308" i="87"/>
  <c r="Q307" i="87"/>
  <c r="Q306" i="87"/>
  <c r="Q305" i="87"/>
  <c r="Q304" i="87"/>
  <c r="Q303" i="87"/>
  <c r="Q302" i="87"/>
  <c r="Q301" i="87"/>
  <c r="L300" i="87"/>
  <c r="K300" i="87"/>
  <c r="H300" i="87"/>
  <c r="I300" i="87" s="1"/>
  <c r="J300" i="87" s="1"/>
  <c r="G300" i="87"/>
  <c r="D300" i="87"/>
  <c r="Q299" i="87"/>
  <c r="M298" i="87"/>
  <c r="I298" i="87"/>
  <c r="J298" i="87" s="1"/>
  <c r="Q297" i="87"/>
  <c r="Q296" i="87"/>
  <c r="L295" i="87"/>
  <c r="K295" i="87"/>
  <c r="M295" i="87" s="1"/>
  <c r="H295" i="87"/>
  <c r="G295" i="87"/>
  <c r="I295" i="87" s="1"/>
  <c r="D295" i="87"/>
  <c r="Q294" i="87"/>
  <c r="Q293" i="87"/>
  <c r="L292" i="87"/>
  <c r="K292" i="87"/>
  <c r="M292" i="87" s="1"/>
  <c r="H292" i="87"/>
  <c r="G292" i="87"/>
  <c r="D292" i="87"/>
  <c r="Q291" i="87"/>
  <c r="M290" i="87"/>
  <c r="Q290" i="87" s="1"/>
  <c r="I290" i="87"/>
  <c r="O290" i="87" s="1"/>
  <c r="Q289" i="87"/>
  <c r="M288" i="87"/>
  <c r="I288" i="87"/>
  <c r="J288" i="87" s="1"/>
  <c r="Q287" i="87"/>
  <c r="N286" i="87"/>
  <c r="M286" i="87"/>
  <c r="Q286" i="87" s="1"/>
  <c r="I286" i="87"/>
  <c r="O286" i="87" s="1"/>
  <c r="Q285" i="87"/>
  <c r="M284" i="87"/>
  <c r="I284" i="87"/>
  <c r="M283" i="87"/>
  <c r="Q283" i="87" s="1"/>
  <c r="J283" i="87"/>
  <c r="I283" i="87"/>
  <c r="O283" i="87" s="1"/>
  <c r="Q282" i="87"/>
  <c r="M281" i="87"/>
  <c r="I281" i="87"/>
  <c r="J281" i="87" s="1"/>
  <c r="Q280" i="87"/>
  <c r="L279" i="87"/>
  <c r="K279" i="87"/>
  <c r="H279" i="87"/>
  <c r="G279" i="87"/>
  <c r="D279" i="87"/>
  <c r="Q278" i="87"/>
  <c r="Q277" i="87"/>
  <c r="Q276" i="87"/>
  <c r="Q275" i="87"/>
  <c r="Q274" i="87"/>
  <c r="Q273" i="87"/>
  <c r="Q272" i="87"/>
  <c r="Q271" i="87"/>
  <c r="Q270" i="87"/>
  <c r="Q269" i="87"/>
  <c r="Q268" i="87"/>
  <c r="Q267" i="87"/>
  <c r="Q266" i="87"/>
  <c r="Q265" i="87"/>
  <c r="Q264" i="87"/>
  <c r="Q263" i="87"/>
  <c r="Q262" i="87"/>
  <c r="Q261" i="87"/>
  <c r="Q260" i="87"/>
  <c r="Q259" i="87"/>
  <c r="Q258" i="87"/>
  <c r="Q257" i="87"/>
  <c r="Q256" i="87"/>
  <c r="S254" i="87"/>
  <c r="L252" i="87"/>
  <c r="H252" i="87"/>
  <c r="H246" i="87" s="1"/>
  <c r="E252" i="87"/>
  <c r="D252" i="87"/>
  <c r="F252" i="87" s="1"/>
  <c r="F250" i="87"/>
  <c r="F246" i="87" s="1"/>
  <c r="F248" i="87"/>
  <c r="L246" i="87"/>
  <c r="E246" i="87"/>
  <c r="D246" i="87"/>
  <c r="L243" i="87"/>
  <c r="H243" i="87"/>
  <c r="E243" i="87"/>
  <c r="D243" i="87"/>
  <c r="F241" i="87"/>
  <c r="L239" i="87"/>
  <c r="H239" i="87"/>
  <c r="D239" i="87"/>
  <c r="F239" i="87" s="1"/>
  <c r="L237" i="87"/>
  <c r="L229" i="87" s="1"/>
  <c r="H237" i="87"/>
  <c r="H229" i="87" s="1"/>
  <c r="E237" i="87"/>
  <c r="E229" i="87" s="1"/>
  <c r="D237" i="87"/>
  <c r="F235" i="87"/>
  <c r="F233" i="87"/>
  <c r="F231" i="87"/>
  <c r="D229" i="87"/>
  <c r="L227" i="87"/>
  <c r="L221" i="87" s="1"/>
  <c r="E227" i="87"/>
  <c r="E221" i="87" s="1"/>
  <c r="D227" i="87"/>
  <c r="D221" i="87" s="1"/>
  <c r="F221" i="87" s="1"/>
  <c r="F225" i="87"/>
  <c r="F223" i="87"/>
  <c r="L219" i="87"/>
  <c r="H219" i="87"/>
  <c r="E219" i="87"/>
  <c r="D219" i="87"/>
  <c r="F217" i="87"/>
  <c r="F215" i="87"/>
  <c r="F213" i="87"/>
  <c r="F211" i="87"/>
  <c r="I210" i="87"/>
  <c r="F209" i="87"/>
  <c r="L207" i="87"/>
  <c r="H207" i="87"/>
  <c r="D207" i="87"/>
  <c r="F207" i="87" s="1"/>
  <c r="L205" i="87"/>
  <c r="H205" i="87"/>
  <c r="E205" i="87"/>
  <c r="D205" i="87"/>
  <c r="F203" i="87"/>
  <c r="F201" i="87"/>
  <c r="L199" i="87"/>
  <c r="H199" i="87"/>
  <c r="F199" i="87"/>
  <c r="D199" i="87"/>
  <c r="Q193" i="87"/>
  <c r="L192" i="87"/>
  <c r="H192" i="87"/>
  <c r="F192" i="87"/>
  <c r="E192" i="87"/>
  <c r="D192" i="87"/>
  <c r="F190" i="87"/>
  <c r="F188" i="87"/>
  <c r="F186" i="87"/>
  <c r="F184" i="87"/>
  <c r="L182" i="87"/>
  <c r="H182" i="87"/>
  <c r="F182" i="87"/>
  <c r="D182" i="87"/>
  <c r="D180" i="87" s="1"/>
  <c r="L180" i="87"/>
  <c r="H180" i="87"/>
  <c r="E180" i="87"/>
  <c r="Q176" i="87"/>
  <c r="L173" i="87"/>
  <c r="H173" i="87"/>
  <c r="E173" i="87"/>
  <c r="D173" i="87"/>
  <c r="F171" i="87"/>
  <c r="L169" i="87"/>
  <c r="H169" i="87"/>
  <c r="D169" i="87"/>
  <c r="F169" i="87" s="1"/>
  <c r="E166" i="87"/>
  <c r="D166" i="87"/>
  <c r="F164" i="87"/>
  <c r="D162" i="87"/>
  <c r="F162" i="87" s="1"/>
  <c r="L160" i="87"/>
  <c r="H160" i="87"/>
  <c r="E160" i="87"/>
  <c r="D160" i="87"/>
  <c r="F158" i="87"/>
  <c r="F160" i="87" s="1"/>
  <c r="F156" i="87"/>
  <c r="M154" i="87"/>
  <c r="H154" i="87"/>
  <c r="D154" i="87"/>
  <c r="F154" i="87" s="1"/>
  <c r="O154" i="87" s="1"/>
  <c r="H152" i="87"/>
  <c r="F152" i="87"/>
  <c r="D152" i="87"/>
  <c r="F150" i="87"/>
  <c r="M148" i="87"/>
  <c r="H148" i="87"/>
  <c r="D148" i="87"/>
  <c r="F148" i="87" s="1"/>
  <c r="E147" i="87"/>
  <c r="D147" i="87"/>
  <c r="F146" i="87"/>
  <c r="F144" i="87"/>
  <c r="L140" i="87"/>
  <c r="H140" i="87"/>
  <c r="F142" i="87"/>
  <c r="F140" i="87"/>
  <c r="E140" i="87"/>
  <c r="D140" i="87"/>
  <c r="L139" i="87"/>
  <c r="H139" i="87"/>
  <c r="D139" i="87"/>
  <c r="F137" i="87"/>
  <c r="F135" i="87"/>
  <c r="F133" i="87" s="1"/>
  <c r="L133" i="87"/>
  <c r="H133" i="87"/>
  <c r="E133" i="87"/>
  <c r="E131" i="87" s="1"/>
  <c r="D133" i="87"/>
  <c r="Q127" i="87"/>
  <c r="E126" i="87"/>
  <c r="D126" i="87"/>
  <c r="F124" i="87"/>
  <c r="F122" i="87"/>
  <c r="L126" i="87"/>
  <c r="L118" i="87" s="1"/>
  <c r="F120" i="87"/>
  <c r="E118" i="87"/>
  <c r="Q116" i="87"/>
  <c r="Q114" i="87"/>
  <c r="L113" i="87"/>
  <c r="L103" i="87" s="1"/>
  <c r="H113" i="87"/>
  <c r="H103" i="87" s="1"/>
  <c r="E113" i="87"/>
  <c r="D113" i="87"/>
  <c r="D103" i="87" s="1"/>
  <c r="F111" i="87"/>
  <c r="F109" i="87"/>
  <c r="F107" i="87"/>
  <c r="D105" i="87"/>
  <c r="F105" i="87" s="1"/>
  <c r="E103" i="87"/>
  <c r="Q101" i="87"/>
  <c r="Q99" i="87"/>
  <c r="L96" i="87"/>
  <c r="H96" i="87"/>
  <c r="D96" i="87"/>
  <c r="F95" i="87"/>
  <c r="L93" i="87"/>
  <c r="H93" i="87"/>
  <c r="E93" i="87"/>
  <c r="E98" i="87" s="1"/>
  <c r="E82" i="87" s="1"/>
  <c r="D93" i="87"/>
  <c r="L91" i="87"/>
  <c r="L83" i="87" s="1"/>
  <c r="H91" i="87"/>
  <c r="H83" i="87" s="1"/>
  <c r="D91" i="87"/>
  <c r="F89" i="87"/>
  <c r="F87" i="87"/>
  <c r="F85" i="87"/>
  <c r="F91" i="87" s="1"/>
  <c r="D83" i="87"/>
  <c r="F83" i="87" s="1"/>
  <c r="Q78" i="87"/>
  <c r="L77" i="87"/>
  <c r="L67" i="87" s="1"/>
  <c r="E77" i="87"/>
  <c r="E67" i="87" s="1"/>
  <c r="D77" i="87"/>
  <c r="F75" i="87"/>
  <c r="F73" i="87"/>
  <c r="F71" i="87"/>
  <c r="L69" i="87"/>
  <c r="D69" i="87"/>
  <c r="F69" i="87" s="1"/>
  <c r="D67" i="87"/>
  <c r="Q63" i="87"/>
  <c r="E62" i="87"/>
  <c r="F62" i="87" s="1"/>
  <c r="D62" i="87"/>
  <c r="F60" i="87"/>
  <c r="F58" i="87"/>
  <c r="F56" i="87"/>
  <c r="D54" i="87"/>
  <c r="F54" i="87" s="1"/>
  <c r="E52" i="87"/>
  <c r="F52" i="87" s="1"/>
  <c r="D52" i="87"/>
  <c r="Q51" i="87"/>
  <c r="Q48" i="87"/>
  <c r="E47" i="87"/>
  <c r="L45" i="87"/>
  <c r="L47" i="87" s="1"/>
  <c r="H45" i="87"/>
  <c r="H35" i="87" s="1"/>
  <c r="D45" i="87"/>
  <c r="F43" i="87"/>
  <c r="F41" i="87"/>
  <c r="F39" i="87"/>
  <c r="L37" i="87"/>
  <c r="H37" i="87"/>
  <c r="D37" i="87"/>
  <c r="F37" i="87" s="1"/>
  <c r="E35" i="87"/>
  <c r="D35" i="87"/>
  <c r="F35" i="87" s="1"/>
  <c r="Q31" i="87"/>
  <c r="E28" i="87"/>
  <c r="D28" i="87"/>
  <c r="F28" i="87" s="1"/>
  <c r="F26" i="87"/>
  <c r="D24" i="87"/>
  <c r="F24" i="87" s="1"/>
  <c r="L22" i="87"/>
  <c r="H22" i="87"/>
  <c r="D22" i="87"/>
  <c r="F20" i="87"/>
  <c r="F18" i="87"/>
  <c r="F16" i="87"/>
  <c r="F22" i="87" s="1"/>
  <c r="L14" i="87"/>
  <c r="H14" i="87"/>
  <c r="F14" i="87"/>
  <c r="D14" i="87"/>
  <c r="E12" i="87"/>
  <c r="E30" i="87" s="1"/>
  <c r="E197" i="87" l="1"/>
  <c r="D197" i="87"/>
  <c r="F197" i="87" s="1"/>
  <c r="I279" i="87"/>
  <c r="J279" i="87" s="1"/>
  <c r="N283" i="87"/>
  <c r="N403" i="87"/>
  <c r="J409" i="87"/>
  <c r="M444" i="87"/>
  <c r="I458" i="87"/>
  <c r="D30" i="87"/>
  <c r="D461" i="87" s="1"/>
  <c r="H47" i="87"/>
  <c r="O288" i="87"/>
  <c r="I345" i="87"/>
  <c r="J345" i="87" s="1"/>
  <c r="J399" i="87"/>
  <c r="K356" i="87"/>
  <c r="O454" i="87"/>
  <c r="M458" i="87"/>
  <c r="F77" i="87"/>
  <c r="D175" i="87"/>
  <c r="F175" i="87" s="1"/>
  <c r="F219" i="87"/>
  <c r="M279" i="87"/>
  <c r="Q284" i="87"/>
  <c r="J351" i="87"/>
  <c r="N399" i="87"/>
  <c r="Q409" i="87"/>
  <c r="O148" i="87"/>
  <c r="J290" i="87"/>
  <c r="M390" i="87"/>
  <c r="J286" i="87"/>
  <c r="N290" i="87"/>
  <c r="J343" i="87"/>
  <c r="Q351" i="87"/>
  <c r="J396" i="87"/>
  <c r="D131" i="87"/>
  <c r="F237" i="87"/>
  <c r="F229" i="87" s="1"/>
  <c r="M300" i="87"/>
  <c r="Q343" i="87"/>
  <c r="O444" i="87"/>
  <c r="J452" i="87"/>
  <c r="N456" i="87"/>
  <c r="N154" i="87"/>
  <c r="I348" i="87"/>
  <c r="Q348" i="87" s="1"/>
  <c r="D21" i="88"/>
  <c r="F147" i="87"/>
  <c r="F227" i="87"/>
  <c r="M333" i="87"/>
  <c r="N333" i="87" s="1"/>
  <c r="J339" i="87"/>
  <c r="O407" i="87"/>
  <c r="I444" i="87"/>
  <c r="J444" i="87" s="1"/>
  <c r="N448" i="87"/>
  <c r="D255" i="87"/>
  <c r="O279" i="87"/>
  <c r="O458" i="87"/>
  <c r="L197" i="87"/>
  <c r="L255" i="87"/>
  <c r="L35" i="87"/>
  <c r="H98" i="87"/>
  <c r="H28" i="87"/>
  <c r="H24" i="87"/>
  <c r="H82" i="87"/>
  <c r="F113" i="87"/>
  <c r="N390" i="87"/>
  <c r="Q390" i="87"/>
  <c r="F12" i="87"/>
  <c r="D47" i="87"/>
  <c r="F47" i="87" s="1"/>
  <c r="F45" i="87"/>
  <c r="F93" i="87"/>
  <c r="D98" i="87"/>
  <c r="F98" i="87" s="1"/>
  <c r="D82" i="87"/>
  <c r="F82" i="87" s="1"/>
  <c r="H62" i="87"/>
  <c r="H54" i="87"/>
  <c r="H77" i="87"/>
  <c r="H69" i="87"/>
  <c r="F103" i="87"/>
  <c r="D12" i="87"/>
  <c r="L28" i="87"/>
  <c r="L24" i="87"/>
  <c r="L12" i="87" s="1"/>
  <c r="L30" i="87" s="1"/>
  <c r="L82" i="87"/>
  <c r="L98" i="87"/>
  <c r="D118" i="87"/>
  <c r="F118" i="87" s="1"/>
  <c r="F126" i="87"/>
  <c r="Q300" i="87"/>
  <c r="N300" i="87"/>
  <c r="L166" i="87"/>
  <c r="L162" i="87"/>
  <c r="F180" i="87"/>
  <c r="O292" i="87"/>
  <c r="N292" i="87"/>
  <c r="F67" i="87"/>
  <c r="L147" i="87"/>
  <c r="H166" i="87"/>
  <c r="H162" i="87"/>
  <c r="H131" i="87" s="1"/>
  <c r="F173" i="87"/>
  <c r="H227" i="87"/>
  <c r="H221" i="87" s="1"/>
  <c r="H197" i="87" s="1"/>
  <c r="O298" i="87"/>
  <c r="M345" i="87"/>
  <c r="N407" i="87"/>
  <c r="Q407" i="87"/>
  <c r="J419" i="87"/>
  <c r="O419" i="87"/>
  <c r="F131" i="87"/>
  <c r="N148" i="87"/>
  <c r="O281" i="87"/>
  <c r="J390" i="87"/>
  <c r="O390" i="87"/>
  <c r="O446" i="87"/>
  <c r="N450" i="87"/>
  <c r="L62" i="87"/>
  <c r="L52" i="87" s="1"/>
  <c r="H126" i="87"/>
  <c r="F139" i="87"/>
  <c r="L175" i="87"/>
  <c r="H147" i="87"/>
  <c r="F166" i="87"/>
  <c r="E255" i="87"/>
  <c r="E461" i="87" s="1"/>
  <c r="F205" i="87"/>
  <c r="J348" i="87"/>
  <c r="D356" i="87"/>
  <c r="O401" i="87"/>
  <c r="O405" i="87"/>
  <c r="Q405" i="87"/>
  <c r="N419" i="87"/>
  <c r="Q419" i="87"/>
  <c r="J458" i="87"/>
  <c r="J295" i="87"/>
  <c r="O295" i="87"/>
  <c r="Q295" i="87"/>
  <c r="N295" i="87"/>
  <c r="N341" i="87"/>
  <c r="Q341" i="87"/>
  <c r="H356" i="87"/>
  <c r="I356" i="87" s="1"/>
  <c r="J356" i="87" s="1"/>
  <c r="I353" i="87"/>
  <c r="J353" i="87" s="1"/>
  <c r="Q394" i="87"/>
  <c r="N394" i="87"/>
  <c r="O414" i="87"/>
  <c r="N417" i="87"/>
  <c r="Q417" i="87"/>
  <c r="Q288" i="87"/>
  <c r="N288" i="87"/>
  <c r="O300" i="87"/>
  <c r="O345" i="87"/>
  <c r="L356" i="87"/>
  <c r="M356" i="87" s="1"/>
  <c r="M353" i="87"/>
  <c r="N401" i="87"/>
  <c r="Q401" i="87"/>
  <c r="O411" i="87"/>
  <c r="M411" i="87"/>
  <c r="N414" i="87"/>
  <c r="Q414" i="87"/>
  <c r="I450" i="87"/>
  <c r="J450" i="87" s="1"/>
  <c r="O452" i="87"/>
  <c r="M452" i="87"/>
  <c r="S475" i="87"/>
  <c r="S462" i="87" s="1"/>
  <c r="F243" i="87"/>
  <c r="Q281" i="87"/>
  <c r="N281" i="87"/>
  <c r="I292" i="87"/>
  <c r="J292" i="87" s="1"/>
  <c r="Q298" i="87"/>
  <c r="N298" i="87"/>
  <c r="I333" i="87"/>
  <c r="O341" i="87"/>
  <c r="O417" i="87"/>
  <c r="Q446" i="87"/>
  <c r="N446" i="87"/>
  <c r="N454" i="87"/>
  <c r="Q454" i="87"/>
  <c r="H56" i="84"/>
  <c r="Q476" i="84"/>
  <c r="N279" i="87" l="1"/>
  <c r="Q279" i="87"/>
  <c r="O348" i="87"/>
  <c r="N444" i="87"/>
  <c r="Q444" i="87"/>
  <c r="Q458" i="87"/>
  <c r="N458" i="87"/>
  <c r="O353" i="87"/>
  <c r="F255" i="87"/>
  <c r="Q292" i="87"/>
  <c r="H175" i="87"/>
  <c r="N356" i="87"/>
  <c r="Q356" i="87"/>
  <c r="N452" i="87"/>
  <c r="Q452" i="87"/>
  <c r="Q333" i="87"/>
  <c r="J333" i="87"/>
  <c r="O333" i="87"/>
  <c r="H118" i="87"/>
  <c r="Q345" i="87"/>
  <c r="N345" i="87"/>
  <c r="H255" i="87"/>
  <c r="H52" i="87"/>
  <c r="F30" i="87"/>
  <c r="L131" i="87"/>
  <c r="L461" i="87"/>
  <c r="S477" i="87" s="1"/>
  <c r="H67" i="87"/>
  <c r="N411" i="87"/>
  <c r="Q411" i="87"/>
  <c r="Q353" i="87"/>
  <c r="N353" i="87"/>
  <c r="Q450" i="87"/>
  <c r="O356" i="87"/>
  <c r="O450" i="87"/>
  <c r="F96" i="87"/>
  <c r="H12" i="87"/>
  <c r="H30" i="87" s="1"/>
  <c r="S256" i="87" l="1"/>
  <c r="S460" i="90"/>
  <c r="H461" i="87"/>
  <c r="S478" i="87"/>
  <c r="F461" i="87"/>
  <c r="Q468" i="84"/>
  <c r="L142" i="84"/>
  <c r="H142" i="84"/>
  <c r="L122" i="84" l="1"/>
  <c r="H122" i="84"/>
  <c r="H16" i="84" l="1"/>
  <c r="S464" i="84"/>
  <c r="H60" i="84" l="1"/>
  <c r="H26" i="84" l="1"/>
  <c r="H124" i="84" l="1"/>
  <c r="H120" i="84"/>
  <c r="L60" i="81" l="1"/>
  <c r="L54" i="81" s="1"/>
  <c r="L69" i="84" l="1"/>
  <c r="H69" i="84"/>
  <c r="L58" i="84"/>
  <c r="L54" i="84" s="1"/>
  <c r="H58" i="84"/>
  <c r="L164" i="84"/>
  <c r="H164" i="84"/>
  <c r="L24" i="84"/>
  <c r="H62" i="84"/>
  <c r="H52" i="84" s="1"/>
  <c r="S468" i="84"/>
  <c r="G201" i="84"/>
  <c r="I201" i="84" s="1"/>
  <c r="G201" i="87" s="1"/>
  <c r="D17" i="85"/>
  <c r="D12" i="85"/>
  <c r="D8" i="85"/>
  <c r="Q467" i="84"/>
  <c r="Q462" i="84"/>
  <c r="Q460" i="84"/>
  <c r="Q459" i="84"/>
  <c r="L458" i="84"/>
  <c r="M458" i="84" s="1"/>
  <c r="K458" i="84"/>
  <c r="H458" i="84"/>
  <c r="G458" i="84"/>
  <c r="D458" i="84"/>
  <c r="Q457" i="84"/>
  <c r="M456" i="84"/>
  <c r="Q456" i="84" s="1"/>
  <c r="I456" i="84"/>
  <c r="O456" i="84" s="1"/>
  <c r="Q455" i="84"/>
  <c r="M454" i="84"/>
  <c r="N454" i="84" s="1"/>
  <c r="I454" i="84"/>
  <c r="J454" i="84" s="1"/>
  <c r="Q453" i="84"/>
  <c r="L452" i="84"/>
  <c r="K452" i="84"/>
  <c r="M452" i="84" s="1"/>
  <c r="H452" i="84"/>
  <c r="G452" i="84"/>
  <c r="D452" i="84"/>
  <c r="Q451" i="84"/>
  <c r="L450" i="84"/>
  <c r="K450" i="84"/>
  <c r="M450" i="84" s="1"/>
  <c r="H450" i="84"/>
  <c r="G450" i="84"/>
  <c r="D450" i="84"/>
  <c r="Q449" i="84"/>
  <c r="Q448" i="84"/>
  <c r="N448" i="84"/>
  <c r="M448" i="84"/>
  <c r="I448" i="84"/>
  <c r="O448" i="84" s="1"/>
  <c r="Q447" i="84"/>
  <c r="M446" i="84"/>
  <c r="I446" i="84"/>
  <c r="J446" i="84" s="1"/>
  <c r="Q445" i="84"/>
  <c r="L444" i="84"/>
  <c r="M444" i="84" s="1"/>
  <c r="K444" i="84"/>
  <c r="H444" i="84"/>
  <c r="G444" i="84"/>
  <c r="D444" i="84"/>
  <c r="Q443" i="84"/>
  <c r="Q442" i="84"/>
  <c r="Q441" i="84"/>
  <c r="Q440" i="84"/>
  <c r="Q439" i="84"/>
  <c r="Q438" i="84"/>
  <c r="Q437" i="84"/>
  <c r="Q436" i="84"/>
  <c r="Q435" i="84"/>
  <c r="Q434" i="84"/>
  <c r="Q433" i="84"/>
  <c r="Q432" i="84"/>
  <c r="Q431" i="84"/>
  <c r="Q430" i="84"/>
  <c r="Q429" i="84"/>
  <c r="Q428" i="84"/>
  <c r="Q427" i="84"/>
  <c r="Q426" i="84"/>
  <c r="Q425" i="84"/>
  <c r="Q424" i="84"/>
  <c r="Q423" i="84"/>
  <c r="Q422" i="84"/>
  <c r="Q421" i="84"/>
  <c r="Q420" i="84"/>
  <c r="L419" i="84"/>
  <c r="K419" i="84"/>
  <c r="M419" i="84" s="1"/>
  <c r="N419" i="84" s="1"/>
  <c r="H419" i="84"/>
  <c r="G419" i="84"/>
  <c r="I419" i="84" s="1"/>
  <c r="J419" i="84" s="1"/>
  <c r="D419" i="84"/>
  <c r="Q418" i="84"/>
  <c r="M417" i="84"/>
  <c r="N417" i="84" s="1"/>
  <c r="I417" i="84"/>
  <c r="J417" i="84" s="1"/>
  <c r="Q416" i="84"/>
  <c r="Q415" i="84"/>
  <c r="L414" i="84"/>
  <c r="K414" i="84"/>
  <c r="M414" i="84" s="1"/>
  <c r="N414" i="84" s="1"/>
  <c r="H414" i="84"/>
  <c r="G414" i="84"/>
  <c r="I414" i="84" s="1"/>
  <c r="J414" i="84" s="1"/>
  <c r="D414" i="84"/>
  <c r="Q413" i="84"/>
  <c r="Q412" i="84"/>
  <c r="L411" i="84"/>
  <c r="M411" i="84" s="1"/>
  <c r="K411" i="84"/>
  <c r="H411" i="84"/>
  <c r="I411" i="84" s="1"/>
  <c r="J411" i="84" s="1"/>
  <c r="G411" i="84"/>
  <c r="D411" i="84"/>
  <c r="Q410" i="84"/>
  <c r="M409" i="84"/>
  <c r="Q409" i="84" s="1"/>
  <c r="I409" i="84"/>
  <c r="O409" i="84" s="1"/>
  <c r="Q408" i="84"/>
  <c r="M407" i="84"/>
  <c r="N407" i="84" s="1"/>
  <c r="I407" i="84"/>
  <c r="J407" i="84" s="1"/>
  <c r="Q406" i="84"/>
  <c r="M405" i="84"/>
  <c r="N405" i="84" s="1"/>
  <c r="I405" i="84"/>
  <c r="Q405" i="84" s="1"/>
  <c r="Q404" i="84"/>
  <c r="M403" i="84"/>
  <c r="Q403" i="84" s="1"/>
  <c r="I403" i="84"/>
  <c r="O403" i="84" s="1"/>
  <c r="Q402" i="84"/>
  <c r="M401" i="84"/>
  <c r="N401" i="84" s="1"/>
  <c r="I401" i="84"/>
  <c r="J401" i="84" s="1"/>
  <c r="Q400" i="84"/>
  <c r="N399" i="84"/>
  <c r="M399" i="84"/>
  <c r="I399" i="84"/>
  <c r="O399" i="84" s="1"/>
  <c r="Q398" i="84"/>
  <c r="Q397" i="84"/>
  <c r="N396" i="84"/>
  <c r="M396" i="84"/>
  <c r="Q396" i="84" s="1"/>
  <c r="J396" i="84"/>
  <c r="I396" i="84"/>
  <c r="O396" i="84" s="1"/>
  <c r="Q395" i="84"/>
  <c r="M394" i="84"/>
  <c r="Q394" i="84" s="1"/>
  <c r="I394" i="84"/>
  <c r="J394" i="84" s="1"/>
  <c r="Q393" i="84"/>
  <c r="M392" i="84"/>
  <c r="Q392" i="84" s="1"/>
  <c r="I392" i="84"/>
  <c r="O392" i="84" s="1"/>
  <c r="Q391" i="84"/>
  <c r="M390" i="84"/>
  <c r="N390" i="84" s="1"/>
  <c r="L390" i="84"/>
  <c r="K390" i="84"/>
  <c r="I390" i="84"/>
  <c r="H390" i="84"/>
  <c r="G390" i="84"/>
  <c r="D390" i="84"/>
  <c r="Q389" i="84"/>
  <c r="Q388" i="84"/>
  <c r="Q387" i="84"/>
  <c r="Q386" i="84"/>
  <c r="Q385" i="84"/>
  <c r="Q384" i="84"/>
  <c r="Q383" i="84"/>
  <c r="Q382" i="84"/>
  <c r="Q381" i="84"/>
  <c r="Q380" i="84"/>
  <c r="Q379" i="84"/>
  <c r="Q378" i="84"/>
  <c r="Q377" i="84"/>
  <c r="Q376" i="84"/>
  <c r="Q375" i="84"/>
  <c r="Q374" i="84"/>
  <c r="Q373" i="84"/>
  <c r="Q372" i="84"/>
  <c r="Q371" i="84"/>
  <c r="Q370" i="84"/>
  <c r="Q369" i="84"/>
  <c r="Q368" i="84"/>
  <c r="Q367" i="84"/>
  <c r="Q366" i="84"/>
  <c r="Q365" i="84"/>
  <c r="Q364" i="84"/>
  <c r="Q363" i="84"/>
  <c r="Q362" i="84"/>
  <c r="Q361" i="84"/>
  <c r="Q360" i="84"/>
  <c r="Q359" i="84"/>
  <c r="Q358" i="84"/>
  <c r="Q357" i="84"/>
  <c r="Q355" i="84"/>
  <c r="Q354" i="84"/>
  <c r="L353" i="84"/>
  <c r="K353" i="84"/>
  <c r="H353" i="84"/>
  <c r="H356" i="84" s="1"/>
  <c r="G353" i="84"/>
  <c r="D353" i="84"/>
  <c r="Q352" i="84"/>
  <c r="Q351" i="84"/>
  <c r="M351" i="84"/>
  <c r="N351" i="84" s="1"/>
  <c r="J351" i="84"/>
  <c r="I351" i="84"/>
  <c r="O351" i="84" s="1"/>
  <c r="Q350" i="84"/>
  <c r="Q349" i="84"/>
  <c r="L348" i="84"/>
  <c r="K348" i="84"/>
  <c r="H348" i="84"/>
  <c r="G348" i="84"/>
  <c r="D348" i="84"/>
  <c r="Q347" i="84"/>
  <c r="Q346" i="84"/>
  <c r="L345" i="84"/>
  <c r="K345" i="84"/>
  <c r="H345" i="84"/>
  <c r="G345" i="84"/>
  <c r="D345" i="84"/>
  <c r="Q344" i="84"/>
  <c r="O343" i="84"/>
  <c r="M343" i="84"/>
  <c r="J343" i="84"/>
  <c r="I343" i="84"/>
  <c r="Q342" i="84"/>
  <c r="M341" i="84"/>
  <c r="N341" i="84" s="1"/>
  <c r="I341" i="84"/>
  <c r="J341" i="84" s="1"/>
  <c r="Q340" i="84"/>
  <c r="N339" i="84"/>
  <c r="M339" i="84"/>
  <c r="Q339" i="84" s="1"/>
  <c r="I339" i="84"/>
  <c r="O339" i="84" s="1"/>
  <c r="Q338" i="84"/>
  <c r="Q337" i="84"/>
  <c r="Q336" i="84"/>
  <c r="N336" i="84"/>
  <c r="M336" i="84"/>
  <c r="I336" i="84"/>
  <c r="O336" i="84" s="1"/>
  <c r="Q335" i="84"/>
  <c r="Q334" i="84"/>
  <c r="L333" i="84"/>
  <c r="K333" i="84"/>
  <c r="M333" i="84" s="1"/>
  <c r="H333" i="84"/>
  <c r="G333" i="84"/>
  <c r="D333" i="84"/>
  <c r="Q332" i="84"/>
  <c r="Q331" i="84"/>
  <c r="Q330" i="84"/>
  <c r="Q329" i="84"/>
  <c r="Q328" i="84"/>
  <c r="Q327" i="84"/>
  <c r="Q326" i="84"/>
  <c r="Q325" i="84"/>
  <c r="Q324" i="84"/>
  <c r="Q323" i="84"/>
  <c r="Q322" i="84"/>
  <c r="Q321" i="84"/>
  <c r="Q320" i="84"/>
  <c r="Q319" i="84"/>
  <c r="Q318" i="84"/>
  <c r="Q317" i="84"/>
  <c r="Q316" i="84"/>
  <c r="Q315" i="84"/>
  <c r="Q314" i="84"/>
  <c r="Q313" i="84"/>
  <c r="Q312" i="84"/>
  <c r="Q311" i="84"/>
  <c r="Q310" i="84"/>
  <c r="Q309" i="84"/>
  <c r="Q308" i="84"/>
  <c r="Q307" i="84"/>
  <c r="Q306" i="84"/>
  <c r="Q305" i="84"/>
  <c r="Q304" i="84"/>
  <c r="Q303" i="84"/>
  <c r="Q302" i="84"/>
  <c r="Q301" i="84"/>
  <c r="L300" i="84"/>
  <c r="K300" i="84"/>
  <c r="M300" i="84" s="1"/>
  <c r="H300" i="84"/>
  <c r="G300" i="84"/>
  <c r="I300" i="84" s="1"/>
  <c r="D300" i="84"/>
  <c r="Q299" i="84"/>
  <c r="M298" i="84"/>
  <c r="Q298" i="84" s="1"/>
  <c r="I298" i="84"/>
  <c r="J298" i="84" s="1"/>
  <c r="Q297" i="84"/>
  <c r="Q296" i="84"/>
  <c r="L295" i="84"/>
  <c r="K295" i="84"/>
  <c r="H295" i="84"/>
  <c r="G295" i="84"/>
  <c r="I295" i="84" s="1"/>
  <c r="D295" i="84"/>
  <c r="Q294" i="84"/>
  <c r="Q293" i="84"/>
  <c r="L292" i="84"/>
  <c r="K292" i="84"/>
  <c r="H292" i="84"/>
  <c r="G292" i="84"/>
  <c r="I292" i="84" s="1"/>
  <c r="J292" i="84" s="1"/>
  <c r="D292" i="84"/>
  <c r="Q291" i="84"/>
  <c r="M290" i="84"/>
  <c r="Q290" i="84" s="1"/>
  <c r="I290" i="84"/>
  <c r="O290" i="84" s="1"/>
  <c r="Q289" i="84"/>
  <c r="M288" i="84"/>
  <c r="Q288" i="84" s="1"/>
  <c r="I288" i="84"/>
  <c r="J288" i="84" s="1"/>
  <c r="Q287" i="84"/>
  <c r="M286" i="84"/>
  <c r="Q286" i="84" s="1"/>
  <c r="I286" i="84"/>
  <c r="O286" i="84" s="1"/>
  <c r="Q285" i="84"/>
  <c r="M284" i="84"/>
  <c r="I284" i="84"/>
  <c r="Q283" i="84"/>
  <c r="N283" i="84"/>
  <c r="M283" i="84"/>
  <c r="I283" i="84"/>
  <c r="O283" i="84" s="1"/>
  <c r="Q282" i="84"/>
  <c r="M281" i="84"/>
  <c r="Q281" i="84" s="1"/>
  <c r="I281" i="84"/>
  <c r="J281" i="84" s="1"/>
  <c r="Q280" i="84"/>
  <c r="L279" i="84"/>
  <c r="M279" i="84" s="1"/>
  <c r="K279" i="84"/>
  <c r="H279" i="84"/>
  <c r="I279" i="84" s="1"/>
  <c r="G279" i="84"/>
  <c r="D279" i="84"/>
  <c r="O279" i="84" s="1"/>
  <c r="Q278" i="84"/>
  <c r="Q277" i="84"/>
  <c r="Q276" i="84"/>
  <c r="Q275" i="84"/>
  <c r="Q274" i="84"/>
  <c r="Q273" i="84"/>
  <c r="Q272" i="84"/>
  <c r="Q271" i="84"/>
  <c r="Q270" i="84"/>
  <c r="Q269" i="84"/>
  <c r="Q268" i="84"/>
  <c r="Q267" i="84"/>
  <c r="Q266" i="84"/>
  <c r="Q265" i="84"/>
  <c r="Q264" i="84"/>
  <c r="Q263" i="84"/>
  <c r="Q262" i="84"/>
  <c r="Q261" i="84"/>
  <c r="Q260" i="84"/>
  <c r="Q259" i="84"/>
  <c r="Q258" i="84"/>
  <c r="Q257" i="84"/>
  <c r="Q256" i="84"/>
  <c r="S254" i="84"/>
  <c r="E252" i="84"/>
  <c r="D252" i="84"/>
  <c r="F250" i="84"/>
  <c r="L252" i="84"/>
  <c r="H252" i="84"/>
  <c r="H246" i="84" s="1"/>
  <c r="F248" i="84"/>
  <c r="L246" i="84"/>
  <c r="E246" i="84"/>
  <c r="D246" i="84"/>
  <c r="L243" i="84"/>
  <c r="H243" i="84"/>
  <c r="E243" i="84"/>
  <c r="D243" i="84"/>
  <c r="F241" i="84"/>
  <c r="F243" i="84" s="1"/>
  <c r="L239" i="84"/>
  <c r="H239" i="84"/>
  <c r="F239" i="84"/>
  <c r="D239" i="84"/>
  <c r="F237" i="84"/>
  <c r="E237" i="84"/>
  <c r="D237" i="84"/>
  <c r="F235" i="84"/>
  <c r="F233" i="84"/>
  <c r="L237" i="84"/>
  <c r="L229" i="84" s="1"/>
  <c r="F231" i="84"/>
  <c r="F229" i="84"/>
  <c r="E229" i="84"/>
  <c r="D229" i="84"/>
  <c r="E227" i="84"/>
  <c r="E221" i="84" s="1"/>
  <c r="E197" i="84" s="1"/>
  <c r="D227" i="84"/>
  <c r="D221" i="84" s="1"/>
  <c r="F225" i="84"/>
  <c r="F223" i="84"/>
  <c r="E219" i="84"/>
  <c r="D219" i="84"/>
  <c r="F217" i="84"/>
  <c r="F215" i="84"/>
  <c r="F213" i="84"/>
  <c r="F211" i="84"/>
  <c r="I210" i="84"/>
  <c r="L219" i="84"/>
  <c r="H219" i="84"/>
  <c r="F209" i="84"/>
  <c r="L207" i="84"/>
  <c r="F207" i="84"/>
  <c r="D207" i="84"/>
  <c r="L205" i="84"/>
  <c r="H205" i="84"/>
  <c r="E205" i="84"/>
  <c r="D205" i="84"/>
  <c r="F205" i="84" s="1"/>
  <c r="F203" i="84"/>
  <c r="F201" i="84"/>
  <c r="L199" i="84"/>
  <c r="H199" i="84"/>
  <c r="D199" i="84"/>
  <c r="Q193" i="84"/>
  <c r="E192" i="84"/>
  <c r="D192" i="84"/>
  <c r="F190" i="84"/>
  <c r="F188" i="84"/>
  <c r="F186" i="84"/>
  <c r="L192" i="84"/>
  <c r="H192" i="84"/>
  <c r="F184" i="84"/>
  <c r="F192" i="84" s="1"/>
  <c r="L182" i="84"/>
  <c r="L180" i="84" s="1"/>
  <c r="H182" i="84"/>
  <c r="H180" i="84" s="1"/>
  <c r="F182" i="84"/>
  <c r="D182" i="84"/>
  <c r="D180" i="84" s="1"/>
  <c r="E180" i="84"/>
  <c r="Q176" i="84"/>
  <c r="L173" i="84"/>
  <c r="H173" i="84"/>
  <c r="F173" i="84"/>
  <c r="E173" i="84"/>
  <c r="D173" i="84"/>
  <c r="F171" i="84"/>
  <c r="L169" i="84"/>
  <c r="H169" i="84"/>
  <c r="D169" i="84"/>
  <c r="F169" i="84" s="1"/>
  <c r="L166" i="84"/>
  <c r="H166" i="84"/>
  <c r="F166" i="84"/>
  <c r="E166" i="84"/>
  <c r="D166" i="84"/>
  <c r="F164" i="84"/>
  <c r="L162" i="84"/>
  <c r="H162" i="84"/>
  <c r="D162" i="84"/>
  <c r="F162" i="84" s="1"/>
  <c r="L160" i="84"/>
  <c r="H160" i="84"/>
  <c r="E160" i="84"/>
  <c r="D160" i="84"/>
  <c r="F158" i="84"/>
  <c r="F156" i="84"/>
  <c r="F160" i="84" s="1"/>
  <c r="M154" i="84"/>
  <c r="H154" i="84"/>
  <c r="D154" i="84"/>
  <c r="F154" i="84" s="1"/>
  <c r="O154" i="84" s="1"/>
  <c r="H152" i="84"/>
  <c r="D152" i="84"/>
  <c r="F150" i="84"/>
  <c r="F152" i="84" s="1"/>
  <c r="N148" i="84"/>
  <c r="M148" i="84"/>
  <c r="H148" i="84"/>
  <c r="F148" i="84"/>
  <c r="D148" i="84"/>
  <c r="H147" i="84"/>
  <c r="E147" i="84"/>
  <c r="D147" i="84"/>
  <c r="F146" i="84"/>
  <c r="F144" i="84"/>
  <c r="F140" i="84" s="1"/>
  <c r="L147" i="84"/>
  <c r="F142" i="84"/>
  <c r="F147" i="84" s="1"/>
  <c r="L140" i="84"/>
  <c r="H140" i="84"/>
  <c r="E140" i="84"/>
  <c r="D140" i="84"/>
  <c r="L139" i="84"/>
  <c r="H139" i="84"/>
  <c r="D139" i="84"/>
  <c r="F137" i="84"/>
  <c r="F135" i="84"/>
  <c r="L133" i="84"/>
  <c r="H133" i="84"/>
  <c r="E133" i="84"/>
  <c r="E131" i="84" s="1"/>
  <c r="D133" i="84"/>
  <c r="Q127" i="84"/>
  <c r="E126" i="84"/>
  <c r="E118" i="84" s="1"/>
  <c r="D126" i="84"/>
  <c r="F124" i="84"/>
  <c r="F122" i="84"/>
  <c r="L126" i="84"/>
  <c r="L118" i="84" s="1"/>
  <c r="F120" i="84"/>
  <c r="D118" i="84"/>
  <c r="Q116" i="84"/>
  <c r="Q114" i="84"/>
  <c r="L113" i="84"/>
  <c r="L103" i="84" s="1"/>
  <c r="H113" i="84"/>
  <c r="H103" i="84" s="1"/>
  <c r="E113" i="84"/>
  <c r="D113" i="84"/>
  <c r="D103" i="84" s="1"/>
  <c r="F103" i="84" s="1"/>
  <c r="F111" i="84"/>
  <c r="F109" i="84"/>
  <c r="F107" i="84"/>
  <c r="H105" i="84"/>
  <c r="D105" i="84"/>
  <c r="F105" i="84" s="1"/>
  <c r="E103" i="84"/>
  <c r="Q101" i="84"/>
  <c r="Q99" i="84"/>
  <c r="L96" i="84"/>
  <c r="H96" i="84"/>
  <c r="D96" i="84"/>
  <c r="F95" i="84"/>
  <c r="L93" i="84"/>
  <c r="H93" i="84"/>
  <c r="E93" i="84"/>
  <c r="E98" i="84" s="1"/>
  <c r="E82" i="84" s="1"/>
  <c r="D93" i="84"/>
  <c r="F93" i="84" s="1"/>
  <c r="L91" i="84"/>
  <c r="L83" i="84" s="1"/>
  <c r="D91" i="84"/>
  <c r="F89" i="84"/>
  <c r="H91" i="84"/>
  <c r="H83" i="84" s="1"/>
  <c r="F87" i="84"/>
  <c r="F85" i="84"/>
  <c r="D83" i="84"/>
  <c r="D82" i="84" s="1"/>
  <c r="Q78" i="84"/>
  <c r="L77" i="84"/>
  <c r="L67" i="84" s="1"/>
  <c r="H77" i="84"/>
  <c r="H67" i="84" s="1"/>
  <c r="E77" i="84"/>
  <c r="D77" i="84"/>
  <c r="F75" i="84"/>
  <c r="F73" i="84"/>
  <c r="F71" i="84"/>
  <c r="D69" i="84"/>
  <c r="F69" i="84" s="1"/>
  <c r="E67" i="84"/>
  <c r="D67" i="84"/>
  <c r="F67" i="84" s="1"/>
  <c r="Q63" i="84"/>
  <c r="F62" i="84"/>
  <c r="E62" i="84"/>
  <c r="D62" i="84"/>
  <c r="D52" i="84" s="1"/>
  <c r="F60" i="84"/>
  <c r="F58" i="84"/>
  <c r="F56" i="84"/>
  <c r="H54" i="84"/>
  <c r="D54" i="84"/>
  <c r="F54" i="84" s="1"/>
  <c r="E52" i="84"/>
  <c r="Q51" i="84"/>
  <c r="Q48" i="84"/>
  <c r="E47" i="84"/>
  <c r="L45" i="84"/>
  <c r="H45" i="84"/>
  <c r="F45" i="84"/>
  <c r="D45" i="84"/>
  <c r="D47" i="84" s="1"/>
  <c r="F43" i="84"/>
  <c r="F41" i="84"/>
  <c r="F39" i="84"/>
  <c r="L37" i="84"/>
  <c r="H37" i="84"/>
  <c r="D37" i="84"/>
  <c r="F37" i="84" s="1"/>
  <c r="E35" i="84"/>
  <c r="D35" i="84"/>
  <c r="Q31" i="84"/>
  <c r="E30" i="84"/>
  <c r="L28" i="84"/>
  <c r="E28" i="84"/>
  <c r="D28" i="84"/>
  <c r="F28" i="84" s="1"/>
  <c r="H24" i="84"/>
  <c r="F26" i="84"/>
  <c r="D24" i="84"/>
  <c r="F24" i="84" s="1"/>
  <c r="L22" i="84"/>
  <c r="H22" i="84"/>
  <c r="D22" i="84"/>
  <c r="F20" i="84"/>
  <c r="F18" i="84"/>
  <c r="F16" i="84"/>
  <c r="L14" i="84"/>
  <c r="H14" i="84"/>
  <c r="F14" i="84"/>
  <c r="F12" i="84" s="1"/>
  <c r="D14" i="84"/>
  <c r="D12" i="84" s="1"/>
  <c r="E12" i="84"/>
  <c r="F82" i="84" l="1"/>
  <c r="O348" i="84"/>
  <c r="D356" i="84"/>
  <c r="I444" i="84"/>
  <c r="J444" i="84" s="1"/>
  <c r="I458" i="84"/>
  <c r="J458" i="84" s="1"/>
  <c r="J279" i="84"/>
  <c r="D131" i="84"/>
  <c r="Q284" i="84"/>
  <c r="J290" i="84"/>
  <c r="I333" i="84"/>
  <c r="J333" i="84" s="1"/>
  <c r="Q343" i="84"/>
  <c r="I348" i="84"/>
  <c r="J348" i="84" s="1"/>
  <c r="J392" i="84"/>
  <c r="J403" i="84"/>
  <c r="I450" i="84"/>
  <c r="J450" i="84" s="1"/>
  <c r="F77" i="84"/>
  <c r="N290" i="84"/>
  <c r="J339" i="84"/>
  <c r="M348" i="84"/>
  <c r="N348" i="84" s="1"/>
  <c r="N392" i="84"/>
  <c r="J409" i="84"/>
  <c r="F83" i="84"/>
  <c r="F113" i="84"/>
  <c r="J286" i="84"/>
  <c r="M295" i="84"/>
  <c r="L356" i="84"/>
  <c r="N403" i="84"/>
  <c r="G356" i="84"/>
  <c r="I356" i="84" s="1"/>
  <c r="J356" i="84" s="1"/>
  <c r="J399" i="84"/>
  <c r="N409" i="84"/>
  <c r="Q446" i="84"/>
  <c r="J456" i="84"/>
  <c r="I201" i="87"/>
  <c r="D98" i="84"/>
  <c r="F98" i="84" s="1"/>
  <c r="F47" i="84"/>
  <c r="N286" i="84"/>
  <c r="F118" i="84"/>
  <c r="K356" i="84"/>
  <c r="M356" i="84" s="1"/>
  <c r="J390" i="84"/>
  <c r="O452" i="84"/>
  <c r="N456" i="84"/>
  <c r="F52" i="84"/>
  <c r="F252" i="84"/>
  <c r="J283" i="84"/>
  <c r="J336" i="84"/>
  <c r="Q399" i="84"/>
  <c r="J448" i="84"/>
  <c r="I452" i="84"/>
  <c r="J452" i="84" s="1"/>
  <c r="D16" i="85"/>
  <c r="D21" i="85" s="1"/>
  <c r="O444" i="84"/>
  <c r="D30" i="84"/>
  <c r="O148" i="84"/>
  <c r="F221" i="84"/>
  <c r="M292" i="84"/>
  <c r="L82" i="84"/>
  <c r="H12" i="84"/>
  <c r="H30" i="84" s="1"/>
  <c r="L12" i="84"/>
  <c r="L30" i="84" s="1"/>
  <c r="L62" i="84"/>
  <c r="L52" i="84" s="1"/>
  <c r="L175" i="84"/>
  <c r="H175" i="84"/>
  <c r="Q477" i="84"/>
  <c r="S473" i="84" s="1"/>
  <c r="S475" i="84" s="1"/>
  <c r="S462" i="84" s="1"/>
  <c r="L131" i="84"/>
  <c r="L98" i="84"/>
  <c r="H131" i="84"/>
  <c r="F30" i="84"/>
  <c r="H47" i="84"/>
  <c r="H35" i="84"/>
  <c r="F91" i="84"/>
  <c r="F22" i="84"/>
  <c r="F35" i="84"/>
  <c r="H28" i="84"/>
  <c r="L47" i="84"/>
  <c r="L35" i="84"/>
  <c r="H98" i="84"/>
  <c r="H82" i="84"/>
  <c r="F96" i="84"/>
  <c r="F199" i="84"/>
  <c r="D197" i="84"/>
  <c r="F197" i="84" s="1"/>
  <c r="J201" i="84"/>
  <c r="Q333" i="84"/>
  <c r="N333" i="84"/>
  <c r="N356" i="84"/>
  <c r="Q356" i="84"/>
  <c r="F126" i="84"/>
  <c r="F133" i="84"/>
  <c r="D175" i="84"/>
  <c r="F175" i="84" s="1"/>
  <c r="F139" i="84"/>
  <c r="F180" i="84"/>
  <c r="L227" i="84"/>
  <c r="L221" i="84" s="1"/>
  <c r="L197" i="84" s="1"/>
  <c r="Q292" i="84"/>
  <c r="N292" i="84"/>
  <c r="H126" i="84"/>
  <c r="H118" i="84" s="1"/>
  <c r="E255" i="84"/>
  <c r="E461" i="84" s="1"/>
  <c r="F219" i="84"/>
  <c r="H227" i="84"/>
  <c r="H221" i="84" s="1"/>
  <c r="H237" i="84"/>
  <c r="H229" i="84" s="1"/>
  <c r="N154" i="84"/>
  <c r="H207" i="84"/>
  <c r="F227" i="84"/>
  <c r="F246" i="84"/>
  <c r="Q295" i="84"/>
  <c r="N295" i="84"/>
  <c r="O300" i="84"/>
  <c r="J300" i="84"/>
  <c r="O333" i="84"/>
  <c r="O356" i="84"/>
  <c r="O411" i="84"/>
  <c r="N411" i="84"/>
  <c r="Q411" i="84"/>
  <c r="Q450" i="84"/>
  <c r="N450" i="84"/>
  <c r="D255" i="84"/>
  <c r="F255" i="84" s="1"/>
  <c r="N279" i="84"/>
  <c r="Q279" i="84"/>
  <c r="O292" i="84"/>
  <c r="O295" i="84"/>
  <c r="J295" i="84"/>
  <c r="Q300" i="84"/>
  <c r="N300" i="84"/>
  <c r="N444" i="84"/>
  <c r="Q444" i="84"/>
  <c r="Q452" i="84"/>
  <c r="N452" i="84"/>
  <c r="N458" i="84"/>
  <c r="Q458" i="84"/>
  <c r="O341" i="84"/>
  <c r="I345" i="84"/>
  <c r="M345" i="84"/>
  <c r="O390" i="84"/>
  <c r="O401" i="84"/>
  <c r="O407" i="84"/>
  <c r="O414" i="84"/>
  <c r="O417" i="84"/>
  <c r="O419" i="84"/>
  <c r="O454" i="84"/>
  <c r="N281" i="84"/>
  <c r="N288" i="84"/>
  <c r="N298" i="84"/>
  <c r="Q341" i="84"/>
  <c r="I353" i="84"/>
  <c r="J353" i="84" s="1"/>
  <c r="M353" i="84"/>
  <c r="Q390" i="84"/>
  <c r="N394" i="84"/>
  <c r="Q401" i="84"/>
  <c r="O405" i="84"/>
  <c r="Q407" i="84"/>
  <c r="Q414" i="84"/>
  <c r="Q417" i="84"/>
  <c r="Q419" i="84"/>
  <c r="N446" i="84"/>
  <c r="Q454" i="84"/>
  <c r="O281" i="84"/>
  <c r="O288" i="84"/>
  <c r="O298" i="84"/>
  <c r="O394" i="84"/>
  <c r="O446" i="84"/>
  <c r="L184" i="81"/>
  <c r="H184" i="81"/>
  <c r="Q348" i="84" l="1"/>
  <c r="O450" i="84"/>
  <c r="O458" i="84"/>
  <c r="G194" i="90"/>
  <c r="J201" i="87"/>
  <c r="L255" i="84"/>
  <c r="L461" i="84" s="1"/>
  <c r="S477" i="84" s="1"/>
  <c r="S256" i="84" s="1"/>
  <c r="O345" i="84"/>
  <c r="J345" i="84"/>
  <c r="O353" i="84"/>
  <c r="N353" i="84"/>
  <c r="Q353" i="84"/>
  <c r="F461" i="84"/>
  <c r="Q345" i="84"/>
  <c r="N345" i="84"/>
  <c r="H197" i="84"/>
  <c r="H255" i="84"/>
  <c r="H461" i="84" s="1"/>
  <c r="F131" i="84"/>
  <c r="D461" i="84"/>
  <c r="I194" i="90" l="1"/>
  <c r="S478" i="84"/>
  <c r="H225" i="81"/>
  <c r="H233" i="81"/>
  <c r="H248" i="81"/>
  <c r="G194" i="96" l="1"/>
  <c r="J194" i="90"/>
  <c r="I194" i="96" l="1"/>
  <c r="L87" i="81"/>
  <c r="G194" i="99" l="1"/>
  <c r="J194" i="96"/>
  <c r="L231" i="81"/>
  <c r="L248" i="81"/>
  <c r="L233" i="81"/>
  <c r="L225" i="81"/>
  <c r="I194" i="99" l="1"/>
  <c r="J194" i="99" s="1"/>
  <c r="H231" i="81"/>
  <c r="L107" i="81" l="1"/>
  <c r="L142" i="81" l="1"/>
  <c r="H142" i="81"/>
  <c r="S464" i="81"/>
  <c r="S468" i="81"/>
  <c r="Q468" i="81" l="1"/>
  <c r="H87" i="81" l="1"/>
  <c r="H30" i="79" l="1"/>
  <c r="H31" i="79"/>
  <c r="Q481" i="78" l="1"/>
  <c r="T466" i="78" l="1"/>
  <c r="H231" i="78" l="1"/>
  <c r="L87" i="78" l="1"/>
  <c r="H87" i="78"/>
  <c r="L60" i="78" l="1"/>
  <c r="L56" i="78"/>
  <c r="L247" i="78" l="1"/>
  <c r="L249" i="78"/>
  <c r="H249" i="78"/>
  <c r="H247" i="78"/>
  <c r="L120" i="78" l="1"/>
  <c r="L124" i="78"/>
  <c r="H124" i="78"/>
  <c r="H120" i="78"/>
  <c r="L164" i="81" l="1"/>
  <c r="H164" i="81"/>
  <c r="H54" i="81" l="1"/>
  <c r="Q467" i="81"/>
  <c r="Q477" i="81" s="1"/>
  <c r="S473" i="81" s="1"/>
  <c r="G201" i="81"/>
  <c r="D17" i="82"/>
  <c r="D16" i="82"/>
  <c r="D21" i="82" s="1"/>
  <c r="D12" i="82"/>
  <c r="D8" i="82"/>
  <c r="Q462" i="81"/>
  <c r="Q460" i="81"/>
  <c r="Q459" i="81"/>
  <c r="L458" i="81"/>
  <c r="K458" i="81"/>
  <c r="H458" i="81"/>
  <c r="G458" i="81"/>
  <c r="D458" i="81"/>
  <c r="Q457" i="81"/>
  <c r="M456" i="81"/>
  <c r="N456" i="81" s="1"/>
  <c r="I456" i="81"/>
  <c r="O456" i="81" s="1"/>
  <c r="Q455" i="81"/>
  <c r="M454" i="81"/>
  <c r="I454" i="81"/>
  <c r="J454" i="81" s="1"/>
  <c r="Q453" i="81"/>
  <c r="L452" i="81"/>
  <c r="K452" i="81"/>
  <c r="H452" i="81"/>
  <c r="G452" i="81"/>
  <c r="I452" i="81" s="1"/>
  <c r="J452" i="81" s="1"/>
  <c r="D452" i="81"/>
  <c r="Q451" i="81"/>
  <c r="L450" i="81"/>
  <c r="K450" i="81"/>
  <c r="M450" i="81" s="1"/>
  <c r="H450" i="81"/>
  <c r="G450" i="81"/>
  <c r="D450" i="81"/>
  <c r="Q449" i="81"/>
  <c r="M448" i="81"/>
  <c r="N448" i="81" s="1"/>
  <c r="I448" i="81"/>
  <c r="O448" i="81" s="1"/>
  <c r="Q447" i="81"/>
  <c r="M446" i="81"/>
  <c r="I446" i="81"/>
  <c r="J446" i="81" s="1"/>
  <c r="Q445" i="81"/>
  <c r="L444" i="81"/>
  <c r="K444" i="81"/>
  <c r="H444" i="81"/>
  <c r="G444" i="81"/>
  <c r="D444" i="81"/>
  <c r="Q443" i="81"/>
  <c r="Q442" i="81"/>
  <c r="Q441" i="81"/>
  <c r="Q440" i="81"/>
  <c r="Q439" i="81"/>
  <c r="Q438" i="81"/>
  <c r="Q437" i="81"/>
  <c r="Q436" i="81"/>
  <c r="Q435" i="81"/>
  <c r="Q434" i="81"/>
  <c r="Q433" i="81"/>
  <c r="Q432" i="81"/>
  <c r="Q431" i="81"/>
  <c r="Q430" i="81"/>
  <c r="Q429" i="81"/>
  <c r="Q428" i="81"/>
  <c r="Q427" i="81"/>
  <c r="Q426" i="81"/>
  <c r="Q425" i="81"/>
  <c r="Q424" i="81"/>
  <c r="Q423" i="81"/>
  <c r="Q422" i="81"/>
  <c r="Q421" i="81"/>
  <c r="Q420" i="81"/>
  <c r="L419" i="81"/>
  <c r="K419" i="81"/>
  <c r="H419" i="81"/>
  <c r="G419" i="81"/>
  <c r="D419" i="81"/>
  <c r="Q418" i="81"/>
  <c r="O417" i="81"/>
  <c r="M417" i="81"/>
  <c r="I417" i="81"/>
  <c r="J417" i="81" s="1"/>
  <c r="Q416" i="81"/>
  <c r="Q415" i="81"/>
  <c r="L414" i="81"/>
  <c r="K414" i="81"/>
  <c r="H414" i="81"/>
  <c r="G414" i="81"/>
  <c r="I414" i="81" s="1"/>
  <c r="D414" i="81"/>
  <c r="Q413" i="81"/>
  <c r="Q412" i="81"/>
  <c r="L411" i="81"/>
  <c r="K411" i="81"/>
  <c r="H411" i="81"/>
  <c r="G411" i="81"/>
  <c r="D411" i="81"/>
  <c r="Q410" i="81"/>
  <c r="M409" i="81"/>
  <c r="N409" i="81" s="1"/>
  <c r="I409" i="81"/>
  <c r="O409" i="81" s="1"/>
  <c r="Q408" i="81"/>
  <c r="M407" i="81"/>
  <c r="I407" i="81"/>
  <c r="J407" i="81" s="1"/>
  <c r="Q406" i="81"/>
  <c r="M405" i="81"/>
  <c r="N405" i="81" s="1"/>
  <c r="I405" i="81"/>
  <c r="Q404" i="81"/>
  <c r="N403" i="81"/>
  <c r="M403" i="81"/>
  <c r="I403" i="81"/>
  <c r="O403" i="81" s="1"/>
  <c r="Q402" i="81"/>
  <c r="M401" i="81"/>
  <c r="I401" i="81"/>
  <c r="J401" i="81" s="1"/>
  <c r="Q400" i="81"/>
  <c r="M399" i="81"/>
  <c r="N399" i="81" s="1"/>
  <c r="I399" i="81"/>
  <c r="O399" i="81" s="1"/>
  <c r="Q398" i="81"/>
  <c r="Q397" i="81"/>
  <c r="M396" i="81"/>
  <c r="N396" i="81" s="1"/>
  <c r="I396" i="81"/>
  <c r="O396" i="81" s="1"/>
  <c r="Q395" i="81"/>
  <c r="M394" i="81"/>
  <c r="I394" i="81"/>
  <c r="J394" i="81" s="1"/>
  <c r="Q393" i="81"/>
  <c r="M392" i="81"/>
  <c r="N392" i="81" s="1"/>
  <c r="I392" i="81"/>
  <c r="O392" i="81" s="1"/>
  <c r="Q391" i="81"/>
  <c r="L390" i="81"/>
  <c r="K390" i="81"/>
  <c r="H390" i="81"/>
  <c r="G390" i="81"/>
  <c r="I390" i="81" s="1"/>
  <c r="J390" i="81" s="1"/>
  <c r="D390" i="81"/>
  <c r="Q389" i="81"/>
  <c r="Q388" i="81"/>
  <c r="Q387" i="81"/>
  <c r="Q386" i="81"/>
  <c r="Q385" i="81"/>
  <c r="Q384" i="81"/>
  <c r="Q383" i="81"/>
  <c r="Q382" i="81"/>
  <c r="Q381" i="81"/>
  <c r="Q380" i="81"/>
  <c r="Q379" i="81"/>
  <c r="Q378" i="81"/>
  <c r="Q377" i="81"/>
  <c r="Q376" i="81"/>
  <c r="Q375" i="81"/>
  <c r="Q374" i="81"/>
  <c r="Q373" i="81"/>
  <c r="Q372" i="81"/>
  <c r="Q371" i="81"/>
  <c r="Q370" i="81"/>
  <c r="Q369" i="81"/>
  <c r="Q368" i="81"/>
  <c r="Q367" i="81"/>
  <c r="Q366" i="81"/>
  <c r="Q365" i="81"/>
  <c r="Q364" i="81"/>
  <c r="Q363" i="81"/>
  <c r="Q362" i="81"/>
  <c r="Q361" i="81"/>
  <c r="Q360" i="81"/>
  <c r="Q359" i="81"/>
  <c r="Q358" i="81"/>
  <c r="Q357" i="81"/>
  <c r="Q355" i="81"/>
  <c r="Q354" i="81"/>
  <c r="L353" i="81"/>
  <c r="K353" i="81"/>
  <c r="M353" i="81" s="1"/>
  <c r="N353" i="81" s="1"/>
  <c r="H353" i="81"/>
  <c r="G353" i="81"/>
  <c r="D353" i="81"/>
  <c r="Q352" i="81"/>
  <c r="M351" i="81"/>
  <c r="N351" i="81" s="1"/>
  <c r="I351" i="81"/>
  <c r="O351" i="81" s="1"/>
  <c r="Q350" i="81"/>
  <c r="Q349" i="81"/>
  <c r="L348" i="81"/>
  <c r="K348" i="81"/>
  <c r="H348" i="81"/>
  <c r="G348" i="81"/>
  <c r="D348" i="81"/>
  <c r="Q347" i="81"/>
  <c r="Q346" i="81"/>
  <c r="L345" i="81"/>
  <c r="K345" i="81"/>
  <c r="H345" i="81"/>
  <c r="G345" i="81"/>
  <c r="D345" i="81"/>
  <c r="Q344" i="81"/>
  <c r="M343" i="81"/>
  <c r="I343" i="81"/>
  <c r="O343" i="81" s="1"/>
  <c r="Q342" i="81"/>
  <c r="M341" i="81"/>
  <c r="I341" i="81"/>
  <c r="J341" i="81" s="1"/>
  <c r="Q340" i="81"/>
  <c r="N339" i="81"/>
  <c r="M339" i="81"/>
  <c r="Q339" i="81" s="1"/>
  <c r="J339" i="81"/>
  <c r="I339" i="81"/>
  <c r="O339" i="81" s="1"/>
  <c r="Q338" i="81"/>
  <c r="Q337" i="81"/>
  <c r="M336" i="81"/>
  <c r="N336" i="81" s="1"/>
  <c r="I336" i="81"/>
  <c r="O336" i="81" s="1"/>
  <c r="Q335" i="81"/>
  <c r="Q334" i="81"/>
  <c r="L333" i="81"/>
  <c r="K333" i="81"/>
  <c r="H333" i="81"/>
  <c r="G333" i="81"/>
  <c r="D333" i="81"/>
  <c r="Q332" i="81"/>
  <c r="Q331" i="81"/>
  <c r="Q330" i="81"/>
  <c r="Q329" i="81"/>
  <c r="Q328" i="81"/>
  <c r="Q327" i="81"/>
  <c r="Q326" i="81"/>
  <c r="Q325" i="81"/>
  <c r="Q324" i="81"/>
  <c r="Q323" i="81"/>
  <c r="Q322" i="81"/>
  <c r="Q321" i="81"/>
  <c r="Q320" i="81"/>
  <c r="Q319" i="81"/>
  <c r="Q318" i="81"/>
  <c r="Q317" i="81"/>
  <c r="Q316" i="81"/>
  <c r="Q315" i="81"/>
  <c r="Q314" i="81"/>
  <c r="Q313" i="81"/>
  <c r="Q312" i="81"/>
  <c r="Q311" i="81"/>
  <c r="Q310" i="81"/>
  <c r="Q309" i="81"/>
  <c r="Q308" i="81"/>
  <c r="Q307" i="81"/>
  <c r="Q306" i="81"/>
  <c r="Q305" i="81"/>
  <c r="Q304" i="81"/>
  <c r="Q303" i="81"/>
  <c r="Q302" i="81"/>
  <c r="Q301" i="81"/>
  <c r="L300" i="81"/>
  <c r="K300" i="81"/>
  <c r="H300" i="81"/>
  <c r="G300" i="81"/>
  <c r="D300" i="81"/>
  <c r="Q299" i="81"/>
  <c r="M298" i="81"/>
  <c r="I298" i="81"/>
  <c r="J298" i="81" s="1"/>
  <c r="Q297" i="81"/>
  <c r="Q296" i="81"/>
  <c r="L295" i="81"/>
  <c r="K295" i="81"/>
  <c r="H295" i="81"/>
  <c r="G295" i="81"/>
  <c r="D295" i="81"/>
  <c r="Q294" i="81"/>
  <c r="Q293" i="81"/>
  <c r="L292" i="81"/>
  <c r="K292" i="81"/>
  <c r="H292" i="81"/>
  <c r="G292" i="81"/>
  <c r="D292" i="81"/>
  <c r="Q291" i="81"/>
  <c r="M290" i="81"/>
  <c r="Q290" i="81" s="1"/>
  <c r="J290" i="81"/>
  <c r="I290" i="81"/>
  <c r="O290" i="81" s="1"/>
  <c r="Q289" i="81"/>
  <c r="M288" i="81"/>
  <c r="I288" i="81"/>
  <c r="J288" i="81" s="1"/>
  <c r="Q287" i="81"/>
  <c r="M286" i="81"/>
  <c r="N286" i="81" s="1"/>
  <c r="I286" i="81"/>
  <c r="O286" i="81" s="1"/>
  <c r="Q285" i="81"/>
  <c r="M284" i="81"/>
  <c r="Q284" i="81" s="1"/>
  <c r="I284" i="81"/>
  <c r="M283" i="81"/>
  <c r="N283" i="81" s="1"/>
  <c r="I283" i="81"/>
  <c r="O283" i="81" s="1"/>
  <c r="Q282" i="81"/>
  <c r="M281" i="81"/>
  <c r="I281" i="81"/>
  <c r="J281" i="81" s="1"/>
  <c r="Q280" i="81"/>
  <c r="L279" i="81"/>
  <c r="K279" i="81"/>
  <c r="H279" i="81"/>
  <c r="G279" i="81"/>
  <c r="D279" i="81"/>
  <c r="Q278" i="81"/>
  <c r="Q277" i="81"/>
  <c r="Q276" i="81"/>
  <c r="Q275" i="81"/>
  <c r="Q274" i="81"/>
  <c r="Q273" i="81"/>
  <c r="Q272" i="81"/>
  <c r="Q271" i="81"/>
  <c r="Q270" i="81"/>
  <c r="Q269" i="81"/>
  <c r="Q268" i="81"/>
  <c r="Q267" i="81"/>
  <c r="Q266" i="81"/>
  <c r="Q265" i="81"/>
  <c r="Q264" i="81"/>
  <c r="Q263" i="81"/>
  <c r="Q262" i="81"/>
  <c r="Q261" i="81"/>
  <c r="Q260" i="81"/>
  <c r="Q259" i="81"/>
  <c r="Q258" i="81"/>
  <c r="Q257" i="81"/>
  <c r="Q256" i="81"/>
  <c r="S254" i="81"/>
  <c r="E252" i="81"/>
  <c r="D252" i="81"/>
  <c r="F250" i="81"/>
  <c r="L252" i="81"/>
  <c r="F248" i="81"/>
  <c r="L246" i="81"/>
  <c r="E246" i="81"/>
  <c r="D246" i="81"/>
  <c r="L243" i="81"/>
  <c r="H243" i="81"/>
  <c r="E243" i="81"/>
  <c r="D243" i="81"/>
  <c r="F241" i="81"/>
  <c r="L239" i="81"/>
  <c r="H239" i="81"/>
  <c r="D239" i="81"/>
  <c r="F239" i="81" s="1"/>
  <c r="E237" i="81"/>
  <c r="E229" i="81" s="1"/>
  <c r="D237" i="81"/>
  <c r="F235" i="81"/>
  <c r="F233" i="81"/>
  <c r="L237" i="81"/>
  <c r="L229" i="81" s="1"/>
  <c r="H237" i="81"/>
  <c r="H229" i="81" s="1"/>
  <c r="F231" i="81"/>
  <c r="D229" i="81"/>
  <c r="L227" i="81"/>
  <c r="L221" i="81" s="1"/>
  <c r="E227" i="81"/>
  <c r="E221" i="81" s="1"/>
  <c r="D227" i="81"/>
  <c r="H227" i="81"/>
  <c r="H221" i="81" s="1"/>
  <c r="F225" i="81"/>
  <c r="F223" i="81"/>
  <c r="D221" i="81"/>
  <c r="F221" i="81" s="1"/>
  <c r="L219" i="81"/>
  <c r="H219" i="81"/>
  <c r="E219" i="81"/>
  <c r="D219" i="81"/>
  <c r="F219" i="81" s="1"/>
  <c r="F217" i="81"/>
  <c r="F215" i="81"/>
  <c r="F213" i="81"/>
  <c r="F211" i="81"/>
  <c r="I210" i="81"/>
  <c r="F209" i="81"/>
  <c r="L207" i="81"/>
  <c r="H207" i="81"/>
  <c r="D207" i="81"/>
  <c r="F207" i="81" s="1"/>
  <c r="L205" i="81"/>
  <c r="H205" i="81"/>
  <c r="E205" i="81"/>
  <c r="D205" i="81"/>
  <c r="D255" i="81" s="1"/>
  <c r="F203" i="81"/>
  <c r="J201" i="81"/>
  <c r="F201" i="81"/>
  <c r="L199" i="81"/>
  <c r="H199" i="81"/>
  <c r="D199" i="81"/>
  <c r="F199" i="81" s="1"/>
  <c r="Q193" i="81"/>
  <c r="L192" i="81"/>
  <c r="H192" i="81"/>
  <c r="E192" i="81"/>
  <c r="D192" i="81"/>
  <c r="F190" i="81"/>
  <c r="F188" i="81"/>
  <c r="F186" i="81"/>
  <c r="F184" i="81"/>
  <c r="L182" i="81"/>
  <c r="H182" i="81"/>
  <c r="D182" i="81"/>
  <c r="D180" i="81" s="1"/>
  <c r="L180" i="81"/>
  <c r="H180" i="81"/>
  <c r="E180" i="81"/>
  <c r="Q176" i="81"/>
  <c r="L173" i="81"/>
  <c r="H173" i="81"/>
  <c r="E173" i="81"/>
  <c r="D173" i="81"/>
  <c r="F171" i="81"/>
  <c r="F173" i="81" s="1"/>
  <c r="L169" i="81"/>
  <c r="H169" i="81"/>
  <c r="D169" i="81"/>
  <c r="F169" i="81" s="1"/>
  <c r="L166" i="81"/>
  <c r="H166" i="81"/>
  <c r="E166" i="81"/>
  <c r="D166" i="81"/>
  <c r="L162" i="81"/>
  <c r="F164" i="81"/>
  <c r="F166" i="81" s="1"/>
  <c r="H162" i="81"/>
  <c r="D162" i="81"/>
  <c r="F162" i="81" s="1"/>
  <c r="L160" i="81"/>
  <c r="H160" i="81"/>
  <c r="E160" i="81"/>
  <c r="D160" i="81"/>
  <c r="F158" i="81"/>
  <c r="F156" i="81"/>
  <c r="M154" i="81"/>
  <c r="N154" i="81" s="1"/>
  <c r="H154" i="81"/>
  <c r="F154" i="81"/>
  <c r="D154" i="81"/>
  <c r="H152" i="81"/>
  <c r="D152" i="81"/>
  <c r="F150" i="81"/>
  <c r="F152" i="81" s="1"/>
  <c r="M148" i="81"/>
  <c r="H148" i="81"/>
  <c r="D148" i="81"/>
  <c r="F148" i="81" s="1"/>
  <c r="L147" i="81"/>
  <c r="E147" i="81"/>
  <c r="D147" i="81"/>
  <c r="F146" i="81"/>
  <c r="F144" i="81"/>
  <c r="L140" i="81"/>
  <c r="F142" i="81"/>
  <c r="E140" i="81"/>
  <c r="D140" i="81"/>
  <c r="L139" i="81"/>
  <c r="H139" i="81"/>
  <c r="D139" i="81"/>
  <c r="F139" i="81" s="1"/>
  <c r="F137" i="81"/>
  <c r="F135" i="81"/>
  <c r="L133" i="81"/>
  <c r="H133" i="81"/>
  <c r="E133" i="81"/>
  <c r="D133" i="81"/>
  <c r="Q127" i="81"/>
  <c r="L126" i="81"/>
  <c r="L118" i="81" s="1"/>
  <c r="E126" i="81"/>
  <c r="E118" i="81" s="1"/>
  <c r="D126" i="81"/>
  <c r="D118" i="81" s="1"/>
  <c r="F124" i="81"/>
  <c r="F122" i="81"/>
  <c r="F120" i="81"/>
  <c r="Q116" i="81"/>
  <c r="Q114" i="81"/>
  <c r="L113" i="81"/>
  <c r="L103" i="81" s="1"/>
  <c r="H113" i="81"/>
  <c r="H103" i="81" s="1"/>
  <c r="E113" i="81"/>
  <c r="D113" i="81"/>
  <c r="D103" i="81" s="1"/>
  <c r="F111" i="81"/>
  <c r="F109" i="81"/>
  <c r="F107" i="81"/>
  <c r="H105" i="81"/>
  <c r="D105" i="81"/>
  <c r="F105" i="81" s="1"/>
  <c r="E103" i="81"/>
  <c r="Q101" i="81"/>
  <c r="Q99" i="81"/>
  <c r="L96" i="81"/>
  <c r="H96" i="81"/>
  <c r="D96" i="81"/>
  <c r="F95" i="81"/>
  <c r="L93" i="81"/>
  <c r="H93" i="81"/>
  <c r="E93" i="81"/>
  <c r="E98" i="81" s="1"/>
  <c r="E82" i="81" s="1"/>
  <c r="D93" i="81"/>
  <c r="L91" i="81"/>
  <c r="L83" i="81" s="1"/>
  <c r="L98" i="81" s="1"/>
  <c r="H91" i="81"/>
  <c r="H83" i="81" s="1"/>
  <c r="H98" i="81" s="1"/>
  <c r="D91" i="81"/>
  <c r="F89" i="81"/>
  <c r="F87" i="81"/>
  <c r="F85" i="81"/>
  <c r="D83" i="81"/>
  <c r="Q78" i="81"/>
  <c r="E77" i="81"/>
  <c r="E67" i="81" s="1"/>
  <c r="D77" i="81"/>
  <c r="F75" i="81"/>
  <c r="F73" i="81"/>
  <c r="H77" i="81"/>
  <c r="H67" i="81" s="1"/>
  <c r="F71" i="81"/>
  <c r="M69" i="81"/>
  <c r="I69" i="81"/>
  <c r="D69" i="81"/>
  <c r="Q63" i="81"/>
  <c r="E62" i="81"/>
  <c r="E52" i="81" s="1"/>
  <c r="D62" i="81"/>
  <c r="F60" i="81"/>
  <c r="F58" i="81"/>
  <c r="H62" i="81"/>
  <c r="H52" i="81" s="1"/>
  <c r="F56" i="81"/>
  <c r="D54" i="81"/>
  <c r="F54" i="81" s="1"/>
  <c r="D52" i="81"/>
  <c r="Q51" i="81"/>
  <c r="Q48" i="81"/>
  <c r="E47" i="81"/>
  <c r="D45" i="81"/>
  <c r="D35" i="81" s="1"/>
  <c r="F35" i="81" s="1"/>
  <c r="F43" i="81"/>
  <c r="F41" i="81"/>
  <c r="L45" i="81"/>
  <c r="L47" i="81" s="1"/>
  <c r="H45" i="81"/>
  <c r="H47" i="81" s="1"/>
  <c r="F39" i="81"/>
  <c r="L37" i="81"/>
  <c r="H37" i="81"/>
  <c r="F37" i="81"/>
  <c r="D37" i="81"/>
  <c r="E35" i="81"/>
  <c r="Q31" i="81"/>
  <c r="E28" i="81"/>
  <c r="D28" i="81"/>
  <c r="F26" i="81"/>
  <c r="D24" i="81"/>
  <c r="F24" i="81" s="1"/>
  <c r="L22" i="81"/>
  <c r="H22" i="81"/>
  <c r="D22" i="81"/>
  <c r="D30" i="81" s="1"/>
  <c r="F20" i="81"/>
  <c r="F18" i="81"/>
  <c r="F16" i="81"/>
  <c r="D14" i="81"/>
  <c r="E12" i="81"/>
  <c r="E30" i="81" s="1"/>
  <c r="Q475" i="78"/>
  <c r="I279" i="81" l="1"/>
  <c r="J279" i="81" s="1"/>
  <c r="J392" i="81"/>
  <c r="J336" i="81"/>
  <c r="J399" i="81"/>
  <c r="F182" i="81"/>
  <c r="D197" i="81"/>
  <c r="M292" i="81"/>
  <c r="J343" i="81"/>
  <c r="G356" i="81"/>
  <c r="M444" i="81"/>
  <c r="N444" i="81" s="1"/>
  <c r="M348" i="81"/>
  <c r="N348" i="81" s="1"/>
  <c r="F103" i="81"/>
  <c r="I300" i="81"/>
  <c r="I295" i="81"/>
  <c r="J295" i="81" s="1"/>
  <c r="M300" i="81"/>
  <c r="I333" i="81"/>
  <c r="J333" i="81" s="1"/>
  <c r="J396" i="81"/>
  <c r="I419" i="81"/>
  <c r="F22" i="81"/>
  <c r="J403" i="81"/>
  <c r="L35" i="81"/>
  <c r="F133" i="81"/>
  <c r="F160" i="81"/>
  <c r="F252" i="81"/>
  <c r="N290" i="81"/>
  <c r="M295" i="81"/>
  <c r="M333" i="81"/>
  <c r="N333" i="81" s="1"/>
  <c r="J351" i="81"/>
  <c r="M419" i="81"/>
  <c r="J448" i="81"/>
  <c r="I458" i="81"/>
  <c r="Q283" i="81"/>
  <c r="Q286" i="81"/>
  <c r="E461" i="81"/>
  <c r="F113" i="81"/>
  <c r="O154" i="81"/>
  <c r="O281" i="81"/>
  <c r="Q336" i="81"/>
  <c r="Q392" i="81"/>
  <c r="Q399" i="81"/>
  <c r="M458" i="81"/>
  <c r="N458" i="81" s="1"/>
  <c r="F45" i="81"/>
  <c r="F52" i="81"/>
  <c r="E131" i="81"/>
  <c r="K356" i="81"/>
  <c r="Q351" i="81"/>
  <c r="M390" i="81"/>
  <c r="Q390" i="81" s="1"/>
  <c r="Q396" i="81"/>
  <c r="Q403" i="81"/>
  <c r="I411" i="81"/>
  <c r="J411" i="81" s="1"/>
  <c r="Q448" i="81"/>
  <c r="E255" i="81"/>
  <c r="F255" i="81" s="1"/>
  <c r="Q409" i="81"/>
  <c r="Q456" i="81"/>
  <c r="F93" i="81"/>
  <c r="F237" i="81"/>
  <c r="F229" i="81" s="1"/>
  <c r="M279" i="81"/>
  <c r="J283" i="81"/>
  <c r="J286" i="81"/>
  <c r="O341" i="81"/>
  <c r="Q343" i="81"/>
  <c r="I345" i="81"/>
  <c r="O345" i="81" s="1"/>
  <c r="I348" i="81"/>
  <c r="J409" i="81"/>
  <c r="M414" i="81"/>
  <c r="N414" i="81" s="1"/>
  <c r="I444" i="81"/>
  <c r="J444" i="81" s="1"/>
  <c r="O446" i="81"/>
  <c r="J456" i="81"/>
  <c r="L197" i="81"/>
  <c r="L131" i="81"/>
  <c r="L175" i="81"/>
  <c r="H82" i="81"/>
  <c r="D12" i="81"/>
  <c r="F14" i="81"/>
  <c r="H14" i="81"/>
  <c r="H12" i="81" s="1"/>
  <c r="H30" i="81" s="1"/>
  <c r="L28" i="81"/>
  <c r="L24" i="81"/>
  <c r="H35" i="81"/>
  <c r="Q300" i="81"/>
  <c r="N300" i="81"/>
  <c r="H28" i="81"/>
  <c r="H24" i="81"/>
  <c r="L62" i="81"/>
  <c r="L52" i="81" s="1"/>
  <c r="F147" i="81"/>
  <c r="F140" i="81"/>
  <c r="F131" i="81" s="1"/>
  <c r="N148" i="81"/>
  <c r="Q295" i="81"/>
  <c r="N295" i="81"/>
  <c r="L14" i="81"/>
  <c r="L12" i="81" s="1"/>
  <c r="L30" i="81" s="1"/>
  <c r="F28" i="81"/>
  <c r="L77" i="81"/>
  <c r="L67" i="81" s="1"/>
  <c r="H126" i="81"/>
  <c r="H118" i="81" s="1"/>
  <c r="O148" i="81"/>
  <c r="L82" i="81"/>
  <c r="H147" i="81"/>
  <c r="H175" i="81" s="1"/>
  <c r="H140" i="81"/>
  <c r="F192" i="81"/>
  <c r="F205" i="81"/>
  <c r="O288" i="81"/>
  <c r="N292" i="81"/>
  <c r="J300" i="81"/>
  <c r="O300" i="81"/>
  <c r="J345" i="81"/>
  <c r="M345" i="81"/>
  <c r="J419" i="81"/>
  <c r="O419" i="81"/>
  <c r="D67" i="81"/>
  <c r="F67" i="81" s="1"/>
  <c r="F69" i="81"/>
  <c r="O69" i="81" s="1"/>
  <c r="F83" i="81"/>
  <c r="D98" i="81"/>
  <c r="F98" i="81" s="1"/>
  <c r="D82" i="81"/>
  <c r="F82" i="81" s="1"/>
  <c r="F91" i="81"/>
  <c r="F126" i="81"/>
  <c r="D131" i="81"/>
  <c r="D175" i="81"/>
  <c r="F175" i="81" s="1"/>
  <c r="F246" i="81"/>
  <c r="Q394" i="81"/>
  <c r="N394" i="81"/>
  <c r="J414" i="81"/>
  <c r="O414" i="81"/>
  <c r="F62" i="81"/>
  <c r="Q69" i="81"/>
  <c r="F77" i="81"/>
  <c r="F118" i="81"/>
  <c r="F180" i="81"/>
  <c r="F227" i="81"/>
  <c r="N407" i="81"/>
  <c r="Q407" i="81"/>
  <c r="D47" i="81"/>
  <c r="F47" i="81" s="1"/>
  <c r="L255" i="81"/>
  <c r="O298" i="81"/>
  <c r="O333" i="81"/>
  <c r="Q333" i="81"/>
  <c r="J348" i="81"/>
  <c r="D356" i="81"/>
  <c r="O401" i="81"/>
  <c r="O405" i="81"/>
  <c r="Q405" i="81"/>
  <c r="N417" i="81"/>
  <c r="Q417" i="81"/>
  <c r="Q458" i="81"/>
  <c r="J458" i="81"/>
  <c r="E197" i="81"/>
  <c r="F197" i="81" s="1"/>
  <c r="H252" i="81"/>
  <c r="H246" i="81" s="1"/>
  <c r="H197" i="81" s="1"/>
  <c r="N341" i="81"/>
  <c r="Q341" i="81"/>
  <c r="H356" i="81"/>
  <c r="I356" i="81" s="1"/>
  <c r="J356" i="81" s="1"/>
  <c r="Q414" i="81"/>
  <c r="N450" i="81"/>
  <c r="O454" i="81"/>
  <c r="O458" i="81"/>
  <c r="F243" i="81"/>
  <c r="O279" i="81"/>
  <c r="Q288" i="81"/>
  <c r="N288" i="81"/>
  <c r="I353" i="81"/>
  <c r="J353" i="81" s="1"/>
  <c r="L356" i="81"/>
  <c r="M356" i="81" s="1"/>
  <c r="O394" i="81"/>
  <c r="N401" i="81"/>
  <c r="Q401" i="81"/>
  <c r="O407" i="81"/>
  <c r="O411" i="81"/>
  <c r="M411" i="81"/>
  <c r="O444" i="81"/>
  <c r="I450" i="81"/>
  <c r="J450" i="81" s="1"/>
  <c r="O452" i="81"/>
  <c r="M452" i="81"/>
  <c r="S475" i="81"/>
  <c r="S462" i="81" s="1"/>
  <c r="Q281" i="81"/>
  <c r="N281" i="81"/>
  <c r="I292" i="81"/>
  <c r="J292" i="81" s="1"/>
  <c r="O295" i="81"/>
  <c r="Q298" i="81"/>
  <c r="N298" i="81"/>
  <c r="O390" i="81"/>
  <c r="N419" i="81"/>
  <c r="Q419" i="81"/>
  <c r="Q446" i="81"/>
  <c r="N446" i="81"/>
  <c r="N454" i="81"/>
  <c r="Q454" i="81"/>
  <c r="L235" i="78"/>
  <c r="L233" i="78"/>
  <c r="H235" i="78"/>
  <c r="H233" i="78"/>
  <c r="L225" i="78"/>
  <c r="H225" i="78"/>
  <c r="L231" i="78"/>
  <c r="L209" i="78"/>
  <c r="H209" i="78"/>
  <c r="Q444" i="81" l="1"/>
  <c r="Q348" i="81"/>
  <c r="N390" i="81"/>
  <c r="N279" i="81"/>
  <c r="Q279" i="81"/>
  <c r="O348" i="81"/>
  <c r="Q450" i="81"/>
  <c r="Q353" i="81"/>
  <c r="H131" i="81"/>
  <c r="N356" i="81"/>
  <c r="Q356" i="81"/>
  <c r="N411" i="81"/>
  <c r="Q411" i="81"/>
  <c r="H255" i="81"/>
  <c r="H461" i="81" s="1"/>
  <c r="O356" i="81"/>
  <c r="Q292" i="81"/>
  <c r="J69" i="81"/>
  <c r="F12" i="81"/>
  <c r="O353" i="81"/>
  <c r="O450" i="81"/>
  <c r="N69" i="81"/>
  <c r="O292" i="81"/>
  <c r="N452" i="81"/>
  <c r="Q452" i="81"/>
  <c r="F96" i="81"/>
  <c r="L461" i="81"/>
  <c r="S477" i="81" s="1"/>
  <c r="D461" i="81"/>
  <c r="Q345" i="81"/>
  <c r="N345" i="81"/>
  <c r="L71" i="78"/>
  <c r="H71" i="78"/>
  <c r="H60" i="78"/>
  <c r="S478" i="81" l="1"/>
  <c r="S256" i="81"/>
  <c r="F30" i="81"/>
  <c r="F461" i="81" l="1"/>
  <c r="L73" i="78"/>
  <c r="H73" i="78"/>
  <c r="L26" i="78" l="1"/>
  <c r="L18" i="78"/>
  <c r="L16" i="78"/>
  <c r="L39" i="78" l="1"/>
  <c r="L37" i="78" s="1"/>
  <c r="L105" i="78" l="1"/>
  <c r="H105" i="78"/>
  <c r="H56" i="78" l="1"/>
  <c r="H58" i="78"/>
  <c r="H18" i="78" l="1"/>
  <c r="H26" i="78"/>
  <c r="H16" i="78"/>
  <c r="H39" i="78" l="1"/>
  <c r="H37" i="78" s="1"/>
  <c r="L122" i="78" l="1"/>
  <c r="H122" i="78"/>
  <c r="L58" i="78"/>
  <c r="S463" i="78" l="1"/>
  <c r="L142" i="78"/>
  <c r="H142" i="78"/>
  <c r="H164" i="78"/>
  <c r="Q467" i="78"/>
  <c r="S467" i="78" l="1"/>
  <c r="S253" i="78" s="1"/>
  <c r="T463" i="78" l="1"/>
  <c r="T473" i="78" s="1"/>
  <c r="Q475" i="75"/>
  <c r="Q466" i="75"/>
  <c r="E93" i="75" l="1"/>
  <c r="E93" i="78"/>
  <c r="L164" i="78" l="1"/>
  <c r="Q466" i="78"/>
  <c r="K111" i="78" l="1"/>
  <c r="M111" i="78" s="1"/>
  <c r="K109" i="78"/>
  <c r="M109" i="78" s="1"/>
  <c r="K107" i="78"/>
  <c r="M107" i="78" s="1"/>
  <c r="G201" i="78"/>
  <c r="G111" i="78"/>
  <c r="I111" i="78" s="1"/>
  <c r="G111" i="81" s="1"/>
  <c r="I111" i="81" s="1"/>
  <c r="G109" i="78"/>
  <c r="I109" i="78" s="1"/>
  <c r="G109" i="81" s="1"/>
  <c r="I109" i="81" s="1"/>
  <c r="G107" i="78"/>
  <c r="I107" i="78" s="1"/>
  <c r="G107" i="81" s="1"/>
  <c r="D17" i="79"/>
  <c r="D16" i="79"/>
  <c r="D12" i="79"/>
  <c r="D8" i="79"/>
  <c r="Q476" i="78"/>
  <c r="Q461" i="78"/>
  <c r="Q459" i="78"/>
  <c r="Q458" i="78"/>
  <c r="L457" i="78"/>
  <c r="K457" i="78"/>
  <c r="M457" i="78" s="1"/>
  <c r="H457" i="78"/>
  <c r="G457" i="78"/>
  <c r="D457" i="78"/>
  <c r="Q456" i="78"/>
  <c r="M455" i="78"/>
  <c r="I455" i="78"/>
  <c r="Q454" i="78"/>
  <c r="M453" i="78"/>
  <c r="N453" i="78" s="1"/>
  <c r="I453" i="78"/>
  <c r="O453" i="78" s="1"/>
  <c r="Q452" i="78"/>
  <c r="L451" i="78"/>
  <c r="K451" i="78"/>
  <c r="M451" i="78" s="1"/>
  <c r="H451" i="78"/>
  <c r="G451" i="78"/>
  <c r="D451" i="78"/>
  <c r="Q450" i="78"/>
  <c r="L449" i="78"/>
  <c r="K449" i="78"/>
  <c r="M449" i="78" s="1"/>
  <c r="H449" i="78"/>
  <c r="G449" i="78"/>
  <c r="D449" i="78"/>
  <c r="Q448" i="78"/>
  <c r="M447" i="78"/>
  <c r="I447" i="78"/>
  <c r="J447" i="78" s="1"/>
  <c r="Q446" i="78"/>
  <c r="M445" i="78"/>
  <c r="Q445" i="78" s="1"/>
  <c r="J445" i="78"/>
  <c r="I445" i="78"/>
  <c r="O445" i="78" s="1"/>
  <c r="Q444" i="78"/>
  <c r="L443" i="78"/>
  <c r="K443" i="78"/>
  <c r="H443" i="78"/>
  <c r="G443" i="78"/>
  <c r="I443" i="78" s="1"/>
  <c r="D443" i="78"/>
  <c r="Q442" i="78"/>
  <c r="Q441" i="78"/>
  <c r="Q440" i="78"/>
  <c r="Q439" i="78"/>
  <c r="Q438" i="78"/>
  <c r="Q437" i="78"/>
  <c r="Q436" i="78"/>
  <c r="Q435" i="78"/>
  <c r="Q434" i="78"/>
  <c r="Q433" i="78"/>
  <c r="Q432" i="78"/>
  <c r="Q431" i="78"/>
  <c r="Q430" i="78"/>
  <c r="Q429" i="78"/>
  <c r="Q428" i="78"/>
  <c r="Q427" i="78"/>
  <c r="Q426" i="78"/>
  <c r="Q425" i="78"/>
  <c r="Q424" i="78"/>
  <c r="Q423" i="78"/>
  <c r="Q422" i="78"/>
  <c r="Q421" i="78"/>
  <c r="Q420" i="78"/>
  <c r="Q419" i="78"/>
  <c r="L418" i="78"/>
  <c r="K418" i="78"/>
  <c r="H418" i="78"/>
  <c r="G418" i="78"/>
  <c r="D418" i="78"/>
  <c r="Q417" i="78"/>
  <c r="M416" i="78"/>
  <c r="Q416" i="78" s="1"/>
  <c r="I416" i="78"/>
  <c r="O416" i="78" s="1"/>
  <c r="Q415" i="78"/>
  <c r="Q414" i="78"/>
  <c r="L413" i="78"/>
  <c r="K413" i="78"/>
  <c r="H413" i="78"/>
  <c r="G413" i="78"/>
  <c r="D413" i="78"/>
  <c r="Q412" i="78"/>
  <c r="Q411" i="78"/>
  <c r="M410" i="78"/>
  <c r="L410" i="78"/>
  <c r="K410" i="78"/>
  <c r="H410" i="78"/>
  <c r="G410" i="78"/>
  <c r="D410" i="78"/>
  <c r="Q409" i="78"/>
  <c r="M408" i="78"/>
  <c r="I408" i="78"/>
  <c r="J408" i="78" s="1"/>
  <c r="Q407" i="78"/>
  <c r="M406" i="78"/>
  <c r="N406" i="78" s="1"/>
  <c r="I406" i="78"/>
  <c r="O406" i="78" s="1"/>
  <c r="Q405" i="78"/>
  <c r="M404" i="78"/>
  <c r="I404" i="78"/>
  <c r="O404" i="78" s="1"/>
  <c r="Q403" i="78"/>
  <c r="M402" i="78"/>
  <c r="I402" i="78"/>
  <c r="Q401" i="78"/>
  <c r="M400" i="78"/>
  <c r="N400" i="78" s="1"/>
  <c r="I400" i="78"/>
  <c r="O400" i="78" s="1"/>
  <c r="Q399" i="78"/>
  <c r="M398" i="78"/>
  <c r="I398" i="78"/>
  <c r="J398" i="78" s="1"/>
  <c r="Q397" i="78"/>
  <c r="Q396" i="78"/>
  <c r="M395" i="78"/>
  <c r="I395" i="78"/>
  <c r="Q394" i="78"/>
  <c r="M393" i="78"/>
  <c r="I393" i="78"/>
  <c r="O393" i="78" s="1"/>
  <c r="Q392" i="78"/>
  <c r="M391" i="78"/>
  <c r="I391" i="78"/>
  <c r="J391" i="78" s="1"/>
  <c r="Q390" i="78"/>
  <c r="L389" i="78"/>
  <c r="K389" i="78"/>
  <c r="H389" i="78"/>
  <c r="G389" i="78"/>
  <c r="D389" i="78"/>
  <c r="Q388" i="78"/>
  <c r="Q387" i="78"/>
  <c r="Q386" i="78"/>
  <c r="Q385" i="78"/>
  <c r="Q384" i="78"/>
  <c r="Q383" i="78"/>
  <c r="Q382" i="78"/>
  <c r="Q381" i="78"/>
  <c r="Q380" i="78"/>
  <c r="Q379" i="78"/>
  <c r="Q378" i="78"/>
  <c r="Q377" i="78"/>
  <c r="Q376" i="78"/>
  <c r="Q375" i="78"/>
  <c r="Q374" i="78"/>
  <c r="Q373" i="78"/>
  <c r="Q372" i="78"/>
  <c r="Q371" i="78"/>
  <c r="Q370" i="78"/>
  <c r="Q369" i="78"/>
  <c r="Q368" i="78"/>
  <c r="Q367" i="78"/>
  <c r="Q366" i="78"/>
  <c r="Q365" i="78"/>
  <c r="Q364" i="78"/>
  <c r="Q363" i="78"/>
  <c r="Q362" i="78"/>
  <c r="Q361" i="78"/>
  <c r="Q360" i="78"/>
  <c r="Q359" i="78"/>
  <c r="Q358" i="78"/>
  <c r="Q357" i="78"/>
  <c r="Q356" i="78"/>
  <c r="Q354" i="78"/>
  <c r="Q353" i="78"/>
  <c r="L352" i="78"/>
  <c r="K352" i="78"/>
  <c r="H352" i="78"/>
  <c r="I352" i="78" s="1"/>
  <c r="J352" i="78" s="1"/>
  <c r="G352" i="78"/>
  <c r="D352" i="78"/>
  <c r="Q351" i="78"/>
  <c r="M350" i="78"/>
  <c r="I350" i="78"/>
  <c r="J350" i="78" s="1"/>
  <c r="Q349" i="78"/>
  <c r="Q348" i="78"/>
  <c r="L347" i="78"/>
  <c r="K347" i="78"/>
  <c r="H347" i="78"/>
  <c r="G347" i="78"/>
  <c r="D347" i="78"/>
  <c r="Q346" i="78"/>
  <c r="Q345" i="78"/>
  <c r="L344" i="78"/>
  <c r="K344" i="78"/>
  <c r="H344" i="78"/>
  <c r="G344" i="78"/>
  <c r="D344" i="78"/>
  <c r="Q343" i="78"/>
  <c r="M342" i="78"/>
  <c r="I342" i="78"/>
  <c r="Q341" i="78"/>
  <c r="M340" i="78"/>
  <c r="N340" i="78" s="1"/>
  <c r="I340" i="78"/>
  <c r="O340" i="78" s="1"/>
  <c r="Q339" i="78"/>
  <c r="O338" i="78"/>
  <c r="M338" i="78"/>
  <c r="I338" i="78"/>
  <c r="J338" i="78" s="1"/>
  <c r="Q337" i="78"/>
  <c r="Q336" i="78"/>
  <c r="M335" i="78"/>
  <c r="I335" i="78"/>
  <c r="J335" i="78" s="1"/>
  <c r="Q334" i="78"/>
  <c r="Q333" i="78"/>
  <c r="L332" i="78"/>
  <c r="K332" i="78"/>
  <c r="H332" i="78"/>
  <c r="G332" i="78"/>
  <c r="D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L299" i="78"/>
  <c r="K299" i="78"/>
  <c r="M299" i="78" s="1"/>
  <c r="H299" i="78"/>
  <c r="G299" i="78"/>
  <c r="D299" i="78"/>
  <c r="Q298" i="78"/>
  <c r="M297" i="78"/>
  <c r="N297" i="78" s="1"/>
  <c r="I297" i="78"/>
  <c r="O297" i="78" s="1"/>
  <c r="Q296" i="78"/>
  <c r="Q295" i="78"/>
  <c r="L294" i="78"/>
  <c r="K294" i="78"/>
  <c r="H294" i="78"/>
  <c r="G294" i="78"/>
  <c r="D294" i="78"/>
  <c r="Q293" i="78"/>
  <c r="Q292" i="78"/>
  <c r="L291" i="78"/>
  <c r="K291" i="78"/>
  <c r="H291" i="78"/>
  <c r="G291" i="78"/>
  <c r="D291" i="78"/>
  <c r="Q290" i="78"/>
  <c r="O289" i="78"/>
  <c r="M289" i="78"/>
  <c r="I289" i="78"/>
  <c r="J289" i="78" s="1"/>
  <c r="Q288" i="78"/>
  <c r="M287" i="78"/>
  <c r="N287" i="78" s="1"/>
  <c r="I287" i="78"/>
  <c r="O287" i="78" s="1"/>
  <c r="Q286" i="78"/>
  <c r="M285" i="78"/>
  <c r="I285" i="78"/>
  <c r="Q284" i="78"/>
  <c r="M283" i="78"/>
  <c r="I283" i="78"/>
  <c r="Q283" i="78" s="1"/>
  <c r="M282" i="78"/>
  <c r="I282" i="78"/>
  <c r="Q281" i="78"/>
  <c r="M280" i="78"/>
  <c r="N280" i="78" s="1"/>
  <c r="I280" i="78"/>
  <c r="O280" i="78" s="1"/>
  <c r="Q279" i="78"/>
  <c r="M278" i="78"/>
  <c r="L278" i="78"/>
  <c r="K278" i="78"/>
  <c r="H278" i="78"/>
  <c r="G278" i="78"/>
  <c r="D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L251" i="78"/>
  <c r="H251" i="78"/>
  <c r="H245" i="78" s="1"/>
  <c r="E251" i="78"/>
  <c r="D251" i="78"/>
  <c r="F251" i="78" s="1"/>
  <c r="F249" i="78"/>
  <c r="F247" i="78"/>
  <c r="L245" i="78"/>
  <c r="E245" i="78"/>
  <c r="D245" i="78"/>
  <c r="L243" i="78"/>
  <c r="H243" i="78"/>
  <c r="F243" i="78"/>
  <c r="E243" i="78"/>
  <c r="D243" i="78"/>
  <c r="F241" i="78"/>
  <c r="L239" i="78"/>
  <c r="H239" i="78"/>
  <c r="D239" i="78"/>
  <c r="F239" i="78" s="1"/>
  <c r="E237" i="78"/>
  <c r="E229" i="78" s="1"/>
  <c r="D237" i="78"/>
  <c r="F235" i="78"/>
  <c r="F233" i="78"/>
  <c r="L237" i="78"/>
  <c r="L229" i="78" s="1"/>
  <c r="H237" i="78"/>
  <c r="H229" i="78" s="1"/>
  <c r="F231" i="78"/>
  <c r="D229" i="78"/>
  <c r="H227" i="78"/>
  <c r="H221" i="78" s="1"/>
  <c r="E227" i="78"/>
  <c r="E221" i="78" s="1"/>
  <c r="E197" i="78" s="1"/>
  <c r="D227" i="78"/>
  <c r="D221" i="78" s="1"/>
  <c r="F225" i="78"/>
  <c r="F223" i="78"/>
  <c r="E219" i="78"/>
  <c r="D219" i="78"/>
  <c r="F217" i="78"/>
  <c r="H207" i="78"/>
  <c r="F215" i="78"/>
  <c r="F213" i="78"/>
  <c r="F211" i="78"/>
  <c r="I210" i="78"/>
  <c r="F209" i="78"/>
  <c r="D207" i="78"/>
  <c r="F207" i="78" s="1"/>
  <c r="L205" i="78"/>
  <c r="H205" i="78"/>
  <c r="E205" i="78"/>
  <c r="D205" i="78"/>
  <c r="F203" i="78"/>
  <c r="F201" i="78"/>
  <c r="J201" i="78" s="1"/>
  <c r="L199" i="78"/>
  <c r="H199" i="78"/>
  <c r="D199" i="78"/>
  <c r="F199" i="78" s="1"/>
  <c r="Q193" i="78"/>
  <c r="L192" i="78"/>
  <c r="H192" i="78"/>
  <c r="E192" i="78"/>
  <c r="D192" i="78"/>
  <c r="F190" i="78"/>
  <c r="F188" i="78"/>
  <c r="F186" i="78"/>
  <c r="F184" i="78"/>
  <c r="L182" i="78"/>
  <c r="H182" i="78"/>
  <c r="H180" i="78" s="1"/>
  <c r="F182" i="78"/>
  <c r="F180" i="78" s="1"/>
  <c r="D182" i="78"/>
  <c r="D180" i="78" s="1"/>
  <c r="L180" i="78"/>
  <c r="E180" i="78"/>
  <c r="Q176" i="78"/>
  <c r="L173" i="78"/>
  <c r="H173" i="78"/>
  <c r="E173" i="78"/>
  <c r="D173" i="78"/>
  <c r="F171" i="78"/>
  <c r="L169" i="78"/>
  <c r="H169" i="78"/>
  <c r="D169" i="78"/>
  <c r="F169" i="78" s="1"/>
  <c r="L166" i="78"/>
  <c r="H166" i="78"/>
  <c r="E166" i="78"/>
  <c r="D166" i="78"/>
  <c r="F164" i="78"/>
  <c r="L162" i="78"/>
  <c r="H162" i="78"/>
  <c r="D162" i="78"/>
  <c r="F162" i="78" s="1"/>
  <c r="L160" i="78"/>
  <c r="H160" i="78"/>
  <c r="E160" i="78"/>
  <c r="D160" i="78"/>
  <c r="F158" i="78"/>
  <c r="F156" i="78"/>
  <c r="M154" i="78"/>
  <c r="H154" i="78"/>
  <c r="D154" i="78"/>
  <c r="F154" i="78" s="1"/>
  <c r="O154" i="78" s="1"/>
  <c r="H152" i="78"/>
  <c r="D152" i="78"/>
  <c r="F150" i="78"/>
  <c r="F152" i="78" s="1"/>
  <c r="M148" i="78"/>
  <c r="H148" i="78"/>
  <c r="D148" i="78"/>
  <c r="F148" i="78" s="1"/>
  <c r="E147" i="78"/>
  <c r="D147" i="78"/>
  <c r="I146" i="78"/>
  <c r="F146" i="78"/>
  <c r="I144" i="78"/>
  <c r="F144" i="78"/>
  <c r="L147" i="78"/>
  <c r="H147" i="78"/>
  <c r="F142" i="78"/>
  <c r="L140" i="78"/>
  <c r="E140" i="78"/>
  <c r="D140" i="78"/>
  <c r="L139" i="78"/>
  <c r="H139" i="78"/>
  <c r="D139" i="78"/>
  <c r="F139" i="78" s="1"/>
  <c r="F137" i="78"/>
  <c r="F135" i="78"/>
  <c r="L133" i="78"/>
  <c r="H133" i="78"/>
  <c r="E133" i="78"/>
  <c r="D133" i="78"/>
  <c r="Q127" i="78"/>
  <c r="E126" i="78"/>
  <c r="E118" i="78" s="1"/>
  <c r="D126" i="78"/>
  <c r="F126" i="78" s="1"/>
  <c r="F124" i="78"/>
  <c r="F122" i="78"/>
  <c r="L126" i="78"/>
  <c r="L118" i="78" s="1"/>
  <c r="H126" i="78"/>
  <c r="H118" i="78" s="1"/>
  <c r="F120" i="78"/>
  <c r="Q116" i="78"/>
  <c r="Q114" i="78"/>
  <c r="L113" i="78"/>
  <c r="L103" i="78" s="1"/>
  <c r="H113" i="78"/>
  <c r="H103" i="78" s="1"/>
  <c r="E113" i="78"/>
  <c r="E103" i="78" s="1"/>
  <c r="D113" i="78"/>
  <c r="F113" i="78" s="1"/>
  <c r="F111" i="78"/>
  <c r="O111" i="78" s="1"/>
  <c r="F109" i="78"/>
  <c r="F107" i="78"/>
  <c r="D105" i="78"/>
  <c r="F105" i="78" s="1"/>
  <c r="D103" i="78"/>
  <c r="Q101" i="78"/>
  <c r="Q99" i="78"/>
  <c r="E98" i="78"/>
  <c r="E82" i="78" s="1"/>
  <c r="L96" i="78"/>
  <c r="H96" i="78"/>
  <c r="D96" i="78"/>
  <c r="F95" i="78"/>
  <c r="L93" i="78"/>
  <c r="H93" i="78"/>
  <c r="D93" i="78"/>
  <c r="F93" i="78" s="1"/>
  <c r="L91" i="78"/>
  <c r="L83" i="78" s="1"/>
  <c r="H91" i="78"/>
  <c r="H83" i="78" s="1"/>
  <c r="H98" i="78" s="1"/>
  <c r="D91" i="78"/>
  <c r="F89" i="78"/>
  <c r="F87" i="78"/>
  <c r="F85" i="78"/>
  <c r="F83" i="78"/>
  <c r="D83" i="78"/>
  <c r="Q78" i="78"/>
  <c r="L77" i="78"/>
  <c r="L67" i="78" s="1"/>
  <c r="H77" i="78"/>
  <c r="E77" i="78"/>
  <c r="E67" i="78" s="1"/>
  <c r="D77" i="78"/>
  <c r="F75" i="78"/>
  <c r="F73" i="78"/>
  <c r="F71" i="78"/>
  <c r="M69" i="78"/>
  <c r="F69" i="78"/>
  <c r="O69" i="78" s="1"/>
  <c r="D69" i="78"/>
  <c r="D67" i="78" s="1"/>
  <c r="H67" i="78"/>
  <c r="Q63" i="78"/>
  <c r="L62" i="78"/>
  <c r="L52" i="78" s="1"/>
  <c r="H62" i="78"/>
  <c r="H52" i="78" s="1"/>
  <c r="E62" i="78"/>
  <c r="E52" i="78" s="1"/>
  <c r="D62" i="78"/>
  <c r="D52" i="78" s="1"/>
  <c r="F60" i="78"/>
  <c r="F58" i="78"/>
  <c r="F56" i="78"/>
  <c r="H54" i="78"/>
  <c r="D54" i="78"/>
  <c r="F54" i="78" s="1"/>
  <c r="Q51" i="78"/>
  <c r="Q48" i="78"/>
  <c r="E47" i="78"/>
  <c r="L45" i="78"/>
  <c r="L35" i="78" s="1"/>
  <c r="H45" i="78"/>
  <c r="H47" i="78" s="1"/>
  <c r="D45" i="78"/>
  <c r="D47" i="78" s="1"/>
  <c r="F43" i="78"/>
  <c r="F41" i="78"/>
  <c r="F39" i="78"/>
  <c r="D37" i="78"/>
  <c r="F37" i="78" s="1"/>
  <c r="E35" i="78"/>
  <c r="D35" i="78"/>
  <c r="F35" i="78" s="1"/>
  <c r="Q31" i="78"/>
  <c r="L28" i="78"/>
  <c r="H28" i="78"/>
  <c r="E28" i="78"/>
  <c r="D28" i="78"/>
  <c r="F26" i="78"/>
  <c r="L24" i="78"/>
  <c r="H24" i="78"/>
  <c r="D24" i="78"/>
  <c r="D22" i="78"/>
  <c r="D30" i="78" s="1"/>
  <c r="F20" i="78"/>
  <c r="F18" i="78"/>
  <c r="F16" i="78"/>
  <c r="F22" i="78" s="1"/>
  <c r="D14" i="78"/>
  <c r="F14" i="78" s="1"/>
  <c r="E12" i="78"/>
  <c r="E30" i="78" s="1"/>
  <c r="H225" i="75"/>
  <c r="H215" i="75"/>
  <c r="F77" i="78" l="1"/>
  <c r="D118" i="78"/>
  <c r="F205" i="78"/>
  <c r="I278" i="78"/>
  <c r="J278" i="78" s="1"/>
  <c r="M352" i="78"/>
  <c r="J393" i="78"/>
  <c r="J400" i="78"/>
  <c r="Q393" i="78"/>
  <c r="N393" i="78"/>
  <c r="O451" i="78"/>
  <c r="F103" i="78"/>
  <c r="F227" i="78"/>
  <c r="M291" i="78"/>
  <c r="I389" i="78"/>
  <c r="J389" i="78" s="1"/>
  <c r="O408" i="78"/>
  <c r="N445" i="78"/>
  <c r="I451" i="78"/>
  <c r="J451" i="78" s="1"/>
  <c r="I457" i="78"/>
  <c r="F67" i="78"/>
  <c r="M413" i="78"/>
  <c r="N413" i="78" s="1"/>
  <c r="M418" i="78"/>
  <c r="M344" i="78"/>
  <c r="I410" i="78"/>
  <c r="J410" i="78" s="1"/>
  <c r="F91" i="78"/>
  <c r="H355" i="78"/>
  <c r="D21" i="79"/>
  <c r="S472" i="78"/>
  <c r="Q480" i="78"/>
  <c r="N416" i="78"/>
  <c r="F28" i="78"/>
  <c r="F47" i="78"/>
  <c r="O391" i="78"/>
  <c r="J416" i="78"/>
  <c r="M443" i="78"/>
  <c r="I449" i="78"/>
  <c r="Q449" i="78" s="1"/>
  <c r="J111" i="81"/>
  <c r="G111" i="84"/>
  <c r="I111" i="84" s="1"/>
  <c r="J109" i="78"/>
  <c r="J109" i="81"/>
  <c r="G109" i="84"/>
  <c r="I109" i="84" s="1"/>
  <c r="Q111" i="78"/>
  <c r="K113" i="78"/>
  <c r="K103" i="78" s="1"/>
  <c r="M103" i="78" s="1"/>
  <c r="E131" i="78"/>
  <c r="N154" i="78"/>
  <c r="Q280" i="78"/>
  <c r="O294" i="78"/>
  <c r="Q297" i="78"/>
  <c r="Q340" i="78"/>
  <c r="K107" i="81"/>
  <c r="N107" i="78"/>
  <c r="F62" i="78"/>
  <c r="D98" i="78"/>
  <c r="F98" i="78" s="1"/>
  <c r="F96" i="78" s="1"/>
  <c r="Q109" i="78"/>
  <c r="G113" i="78"/>
  <c r="G103" i="78" s="1"/>
  <c r="I103" i="78" s="1"/>
  <c r="J103" i="78" s="1"/>
  <c r="F160" i="78"/>
  <c r="F221" i="78"/>
  <c r="F237" i="78"/>
  <c r="F229" i="78" s="1"/>
  <c r="J280" i="78"/>
  <c r="I291" i="78"/>
  <c r="J291" i="78" s="1"/>
  <c r="I294" i="78"/>
  <c r="J294" i="78" s="1"/>
  <c r="J297" i="78"/>
  <c r="I332" i="78"/>
  <c r="O335" i="78"/>
  <c r="J340" i="78"/>
  <c r="D355" i="78"/>
  <c r="L355" i="78"/>
  <c r="I347" i="78"/>
  <c r="O347" i="78" s="1"/>
  <c r="O350" i="78"/>
  <c r="Q400" i="78"/>
  <c r="I418" i="78"/>
  <c r="J418" i="78" s="1"/>
  <c r="O447" i="78"/>
  <c r="I107" i="81"/>
  <c r="G113" i="81"/>
  <c r="K109" i="81"/>
  <c r="M109" i="81" s="1"/>
  <c r="K109" i="84" s="1"/>
  <c r="M109" i="84" s="1"/>
  <c r="N109" i="78"/>
  <c r="F118" i="78"/>
  <c r="F147" i="78"/>
  <c r="J146" i="78"/>
  <c r="G146" i="81"/>
  <c r="I146" i="81" s="1"/>
  <c r="Q287" i="78"/>
  <c r="Q406" i="78"/>
  <c r="Q453" i="78"/>
  <c r="K111" i="81"/>
  <c r="M111" i="81" s="1"/>
  <c r="K111" i="84" s="1"/>
  <c r="M111" i="84" s="1"/>
  <c r="N111" i="78"/>
  <c r="D82" i="78"/>
  <c r="F82" i="78" s="1"/>
  <c r="Q107" i="78"/>
  <c r="J111" i="78"/>
  <c r="F133" i="78"/>
  <c r="J144" i="78"/>
  <c r="G144" i="81"/>
  <c r="I144" i="81" s="1"/>
  <c r="D197" i="78"/>
  <c r="F197" i="78" s="1"/>
  <c r="J287" i="78"/>
  <c r="I299" i="78"/>
  <c r="J299" i="78" s="1"/>
  <c r="M332" i="78"/>
  <c r="Q332" i="78" s="1"/>
  <c r="M347" i="78"/>
  <c r="K355" i="78"/>
  <c r="M389" i="78"/>
  <c r="O398" i="78"/>
  <c r="J406" i="78"/>
  <c r="I413" i="78"/>
  <c r="J413" i="78" s="1"/>
  <c r="J453" i="78"/>
  <c r="L98" i="78"/>
  <c r="I113" i="78"/>
  <c r="L82" i="78"/>
  <c r="H35" i="78"/>
  <c r="H197" i="78"/>
  <c r="H175" i="78"/>
  <c r="H82" i="78"/>
  <c r="L22" i="78"/>
  <c r="L14" i="78"/>
  <c r="L12" i="78" s="1"/>
  <c r="L30" i="78" s="1"/>
  <c r="F24" i="78"/>
  <c r="F12" i="78" s="1"/>
  <c r="D12" i="78"/>
  <c r="H14" i="78"/>
  <c r="H12" i="78" s="1"/>
  <c r="H30" i="78" s="1"/>
  <c r="H22" i="78"/>
  <c r="M113" i="78"/>
  <c r="O109" i="78"/>
  <c r="L227" i="78"/>
  <c r="L221" i="78" s="1"/>
  <c r="N278" i="78"/>
  <c r="Q278" i="78"/>
  <c r="O291" i="78"/>
  <c r="L47" i="78"/>
  <c r="O148" i="78"/>
  <c r="E254" i="78"/>
  <c r="E460" i="78" s="1"/>
  <c r="F219" i="78"/>
  <c r="J282" i="78"/>
  <c r="O282" i="78"/>
  <c r="J332" i="78"/>
  <c r="O332" i="78"/>
  <c r="Q447" i="78"/>
  <c r="N447" i="78"/>
  <c r="N449" i="78"/>
  <c r="J455" i="78"/>
  <c r="O455" i="78"/>
  <c r="J457" i="78"/>
  <c r="O457" i="78"/>
  <c r="N457" i="78"/>
  <c r="Q457" i="78"/>
  <c r="F45" i="78"/>
  <c r="F52" i="78"/>
  <c r="H140" i="78"/>
  <c r="H131" i="78" s="1"/>
  <c r="L207" i="78"/>
  <c r="N299" i="78"/>
  <c r="O342" i="78"/>
  <c r="J342" i="78"/>
  <c r="Q342" i="78"/>
  <c r="O352" i="78"/>
  <c r="J402" i="78"/>
  <c r="O402" i="78"/>
  <c r="Q404" i="78"/>
  <c r="N404" i="78"/>
  <c r="O410" i="78"/>
  <c r="J443" i="78"/>
  <c r="O443" i="78"/>
  <c r="N455" i="78"/>
  <c r="Q455" i="78"/>
  <c r="F166" i="78"/>
  <c r="Q289" i="78"/>
  <c r="N289" i="78"/>
  <c r="N344" i="78"/>
  <c r="J395" i="78"/>
  <c r="O395" i="78"/>
  <c r="L175" i="78"/>
  <c r="N148" i="78"/>
  <c r="F173" i="78"/>
  <c r="F245" i="78"/>
  <c r="O278" i="78"/>
  <c r="N352" i="78"/>
  <c r="Q352" i="78"/>
  <c r="J449" i="78"/>
  <c r="O449" i="78"/>
  <c r="N69" i="78"/>
  <c r="J107" i="78"/>
  <c r="O107" i="78"/>
  <c r="D131" i="78"/>
  <c r="L131" i="78"/>
  <c r="D175" i="78"/>
  <c r="F175" i="78" s="1"/>
  <c r="N285" i="78"/>
  <c r="Q285" i="78"/>
  <c r="N332" i="78"/>
  <c r="N347" i="78"/>
  <c r="Q347" i="78"/>
  <c r="N391" i="78"/>
  <c r="Q391" i="78"/>
  <c r="N402" i="78"/>
  <c r="Q402" i="78"/>
  <c r="N443" i="78"/>
  <c r="Q443" i="78"/>
  <c r="F192" i="78"/>
  <c r="D254" i="78"/>
  <c r="Q291" i="78"/>
  <c r="N291" i="78"/>
  <c r="M294" i="78"/>
  <c r="Q335" i="78"/>
  <c r="N335" i="78"/>
  <c r="N408" i="78"/>
  <c r="Q408" i="78"/>
  <c r="Q451" i="78"/>
  <c r="N451" i="78"/>
  <c r="F140" i="78"/>
  <c r="H219" i="78"/>
  <c r="H254" i="78" s="1"/>
  <c r="L219" i="78"/>
  <c r="J285" i="78"/>
  <c r="O285" i="78"/>
  <c r="Q338" i="78"/>
  <c r="N338" i="78"/>
  <c r="J347" i="78"/>
  <c r="Q398" i="78"/>
  <c r="N398" i="78"/>
  <c r="N410" i="78"/>
  <c r="Q410" i="78"/>
  <c r="N418" i="78"/>
  <c r="Q282" i="78"/>
  <c r="N282" i="78"/>
  <c r="I344" i="78"/>
  <c r="J344" i="78" s="1"/>
  <c r="N350" i="78"/>
  <c r="Q350" i="78"/>
  <c r="G355" i="78"/>
  <c r="I355" i="78" s="1"/>
  <c r="O389" i="78"/>
  <c r="Q395" i="78"/>
  <c r="N395" i="78"/>
  <c r="S474" i="78"/>
  <c r="S461" i="78" s="1"/>
  <c r="S255" i="78" s="1"/>
  <c r="J146" i="81" l="1"/>
  <c r="G146" i="84"/>
  <c r="I146" i="84" s="1"/>
  <c r="J144" i="81"/>
  <c r="G144" i="84"/>
  <c r="I144" i="84" s="1"/>
  <c r="Q299" i="78"/>
  <c r="K109" i="87"/>
  <c r="M109" i="87" s="1"/>
  <c r="N109" i="84"/>
  <c r="O109" i="84"/>
  <c r="M355" i="78"/>
  <c r="N355" i="78" s="1"/>
  <c r="K111" i="87"/>
  <c r="M111" i="87" s="1"/>
  <c r="N111" i="84"/>
  <c r="O111" i="84"/>
  <c r="G111" i="87"/>
  <c r="I111" i="87" s="1"/>
  <c r="J111" i="84"/>
  <c r="Q111" i="84"/>
  <c r="J109" i="84"/>
  <c r="G109" i="87"/>
  <c r="I109" i="87" s="1"/>
  <c r="Q109" i="84"/>
  <c r="J107" i="81"/>
  <c r="G107" i="84"/>
  <c r="G105" i="84" s="1"/>
  <c r="Q109" i="81"/>
  <c r="O109" i="81"/>
  <c r="N109" i="81"/>
  <c r="Q418" i="78"/>
  <c r="J355" i="78"/>
  <c r="Q413" i="78"/>
  <c r="O299" i="78"/>
  <c r="G103" i="81"/>
  <c r="I103" i="81" s="1"/>
  <c r="J103" i="81" s="1"/>
  <c r="I113" i="81"/>
  <c r="O413" i="78"/>
  <c r="Q111" i="81"/>
  <c r="N111" i="81"/>
  <c r="O111" i="81"/>
  <c r="H15" i="79"/>
  <c r="N113" i="78"/>
  <c r="O418" i="78"/>
  <c r="Q389" i="78"/>
  <c r="N389" i="78"/>
  <c r="M107" i="81"/>
  <c r="K107" i="84" s="1"/>
  <c r="K113" i="81"/>
  <c r="J113" i="78"/>
  <c r="F15" i="79"/>
  <c r="L197" i="78"/>
  <c r="L254" i="78"/>
  <c r="L460" i="78" s="1"/>
  <c r="S476" i="78" s="1"/>
  <c r="F30" i="78"/>
  <c r="N294" i="78"/>
  <c r="Q294" i="78"/>
  <c r="O113" i="78"/>
  <c r="Q113" i="78"/>
  <c r="D460" i="78"/>
  <c r="O344" i="78"/>
  <c r="O355" i="78"/>
  <c r="Q355" i="78"/>
  <c r="H460" i="78"/>
  <c r="F131" i="78"/>
  <c r="F254" i="78"/>
  <c r="Q344" i="78"/>
  <c r="Q103" i="78"/>
  <c r="N103" i="78"/>
  <c r="O103" i="78"/>
  <c r="N111" i="87" l="1"/>
  <c r="K111" i="90"/>
  <c r="M111" i="90" s="1"/>
  <c r="O111" i="87"/>
  <c r="K109" i="90"/>
  <c r="M109" i="90" s="1"/>
  <c r="N109" i="87"/>
  <c r="O109" i="87"/>
  <c r="J144" i="84"/>
  <c r="G144" i="87"/>
  <c r="I144" i="87" s="1"/>
  <c r="K105" i="84"/>
  <c r="M105" i="84" s="1"/>
  <c r="M107" i="84"/>
  <c r="K113" i="84"/>
  <c r="G146" i="87"/>
  <c r="I146" i="87" s="1"/>
  <c r="J146" i="84"/>
  <c r="E10" i="80"/>
  <c r="J111" i="87"/>
  <c r="G111" i="90"/>
  <c r="I111" i="90" s="1"/>
  <c r="G111" i="96" s="1"/>
  <c r="I111" i="96" s="1"/>
  <c r="Q111" i="87"/>
  <c r="G109" i="90"/>
  <c r="I109" i="90" s="1"/>
  <c r="G109" i="96" s="1"/>
  <c r="I109" i="96" s="1"/>
  <c r="J109" i="87"/>
  <c r="Q109" i="87"/>
  <c r="I107" i="84"/>
  <c r="G113" i="84"/>
  <c r="E9" i="80"/>
  <c r="K103" i="81"/>
  <c r="M103" i="81" s="1"/>
  <c r="M113" i="81"/>
  <c r="O107" i="81"/>
  <c r="N107" i="81"/>
  <c r="Q107" i="81"/>
  <c r="J113" i="81"/>
  <c r="F15" i="82"/>
  <c r="S477" i="78"/>
  <c r="D9" i="80"/>
  <c r="F460" i="78"/>
  <c r="H231" i="75"/>
  <c r="K107" i="87" l="1"/>
  <c r="N107" i="84"/>
  <c r="O107" i="84"/>
  <c r="K109" i="96"/>
  <c r="M109" i="96" s="1"/>
  <c r="N109" i="90"/>
  <c r="O109" i="90"/>
  <c r="N105" i="84"/>
  <c r="O105" i="84"/>
  <c r="K111" i="96"/>
  <c r="M111" i="96" s="1"/>
  <c r="N111" i="90"/>
  <c r="O111" i="90"/>
  <c r="G146" i="90"/>
  <c r="I146" i="90" s="1"/>
  <c r="J146" i="87"/>
  <c r="G144" i="90"/>
  <c r="I144" i="90" s="1"/>
  <c r="J144" i="87"/>
  <c r="K103" i="84"/>
  <c r="M103" i="84" s="1"/>
  <c r="M113" i="84"/>
  <c r="J109" i="96"/>
  <c r="G109" i="99"/>
  <c r="I109" i="99" s="1"/>
  <c r="Q109" i="96"/>
  <c r="G111" i="99"/>
  <c r="I111" i="99" s="1"/>
  <c r="Q111" i="96"/>
  <c r="J111" i="96"/>
  <c r="Q111" i="90"/>
  <c r="J111" i="90"/>
  <c r="J109" i="90"/>
  <c r="Q109" i="90"/>
  <c r="I113" i="84"/>
  <c r="G103" i="84"/>
  <c r="I103" i="84" s="1"/>
  <c r="J107" i="84"/>
  <c r="G107" i="87"/>
  <c r="G105" i="87" s="1"/>
  <c r="Q107" i="84"/>
  <c r="D9" i="83"/>
  <c r="H15" i="82"/>
  <c r="Q113" i="81"/>
  <c r="N113" i="81"/>
  <c r="O113" i="81"/>
  <c r="O103" i="81"/>
  <c r="N103" i="81"/>
  <c r="Q103" i="81"/>
  <c r="H209" i="75"/>
  <c r="L56" i="75"/>
  <c r="H56" i="75"/>
  <c r="H15" i="85" l="1"/>
  <c r="N113" i="84"/>
  <c r="O113" i="84"/>
  <c r="N109" i="96"/>
  <c r="K109" i="99"/>
  <c r="M109" i="99" s="1"/>
  <c r="O109" i="96"/>
  <c r="G146" i="96"/>
  <c r="I146" i="96" s="1"/>
  <c r="J146" i="90"/>
  <c r="K111" i="99"/>
  <c r="M111" i="99" s="1"/>
  <c r="Q111" i="99" s="1"/>
  <c r="O111" i="96"/>
  <c r="N111" i="96"/>
  <c r="N103" i="84"/>
  <c r="O103" i="84"/>
  <c r="G144" i="96"/>
  <c r="I144" i="96" s="1"/>
  <c r="J144" i="90"/>
  <c r="K105" i="87"/>
  <c r="M105" i="87" s="1"/>
  <c r="M107" i="87"/>
  <c r="K113" i="87"/>
  <c r="J109" i="99"/>
  <c r="Q109" i="99"/>
  <c r="J111" i="99"/>
  <c r="I107" i="87"/>
  <c r="G113" i="87"/>
  <c r="J103" i="84"/>
  <c r="Q103" i="84"/>
  <c r="F15" i="85"/>
  <c r="J113" i="84"/>
  <c r="Q113" i="84"/>
  <c r="E10" i="83"/>
  <c r="E9" i="83"/>
  <c r="L231" i="75"/>
  <c r="L225" i="75"/>
  <c r="G235" i="75"/>
  <c r="L238" i="11"/>
  <c r="K238" i="11"/>
  <c r="H238" i="11"/>
  <c r="G238" i="11"/>
  <c r="D238" i="11"/>
  <c r="M236" i="11"/>
  <c r="K235" i="75" s="1"/>
  <c r="I236" i="11"/>
  <c r="F236" i="11"/>
  <c r="M234" i="11"/>
  <c r="N234" i="11" s="1"/>
  <c r="I234" i="11"/>
  <c r="G233" i="75" s="1"/>
  <c r="F234" i="11"/>
  <c r="L215" i="75"/>
  <c r="L209" i="75"/>
  <c r="J146" i="96" l="1"/>
  <c r="G146" i="99"/>
  <c r="I146" i="99" s="1"/>
  <c r="J146" i="99" s="1"/>
  <c r="M113" i="87"/>
  <c r="K103" i="87"/>
  <c r="M103" i="87" s="1"/>
  <c r="K107" i="90"/>
  <c r="O107" i="87"/>
  <c r="N107" i="87"/>
  <c r="N109" i="99"/>
  <c r="O109" i="99"/>
  <c r="K105" i="96"/>
  <c r="M105" i="96" s="1"/>
  <c r="O105" i="87"/>
  <c r="K105" i="90"/>
  <c r="M105" i="90" s="1"/>
  <c r="N105" i="87"/>
  <c r="O111" i="99"/>
  <c r="N111" i="99"/>
  <c r="G144" i="99"/>
  <c r="I144" i="99" s="1"/>
  <c r="J144" i="99" s="1"/>
  <c r="J144" i="96"/>
  <c r="E10" i="86"/>
  <c r="E9" i="86"/>
  <c r="G103" i="87"/>
  <c r="I103" i="87" s="1"/>
  <c r="I113" i="87"/>
  <c r="D9" i="86"/>
  <c r="J107" i="87"/>
  <c r="G107" i="90"/>
  <c r="Q107" i="87"/>
  <c r="K233" i="75"/>
  <c r="O236" i="11"/>
  <c r="O234" i="11"/>
  <c r="J236" i="11"/>
  <c r="Q234" i="11"/>
  <c r="J234" i="11"/>
  <c r="Q236" i="11"/>
  <c r="N236" i="11"/>
  <c r="K105" i="99" l="1"/>
  <c r="M105" i="99" s="1"/>
  <c r="O105" i="96"/>
  <c r="N105" i="96"/>
  <c r="K113" i="90"/>
  <c r="M107" i="90"/>
  <c r="O105" i="90"/>
  <c r="N105" i="90"/>
  <c r="O103" i="87"/>
  <c r="N103" i="87"/>
  <c r="H15" i="88"/>
  <c r="O113" i="87"/>
  <c r="N113" i="87"/>
  <c r="I107" i="90"/>
  <c r="G107" i="96" s="1"/>
  <c r="G113" i="90"/>
  <c r="J113" i="87"/>
  <c r="F15" i="88"/>
  <c r="Q113" i="87"/>
  <c r="J103" i="87"/>
  <c r="Q103" i="87"/>
  <c r="L237" i="75"/>
  <c r="H237" i="75"/>
  <c r="D237" i="75"/>
  <c r="F235" i="75"/>
  <c r="F233" i="75"/>
  <c r="E10" i="89" l="1"/>
  <c r="E9" i="89"/>
  <c r="K107" i="96"/>
  <c r="O107" i="90"/>
  <c r="N107" i="90"/>
  <c r="K103" i="90"/>
  <c r="M103" i="90" s="1"/>
  <c r="M113" i="90"/>
  <c r="N105" i="99"/>
  <c r="O105" i="99"/>
  <c r="I107" i="96"/>
  <c r="G113" i="96"/>
  <c r="D9" i="89"/>
  <c r="G103" i="90"/>
  <c r="I103" i="90" s="1"/>
  <c r="I113" i="90"/>
  <c r="F15" i="91" s="1"/>
  <c r="J107" i="90"/>
  <c r="Q107" i="90"/>
  <c r="H83" i="75"/>
  <c r="H15" i="91" l="1"/>
  <c r="O113" i="90"/>
  <c r="N113" i="90"/>
  <c r="O103" i="90"/>
  <c r="N103" i="90"/>
  <c r="K113" i="96"/>
  <c r="M107" i="96"/>
  <c r="G103" i="96"/>
  <c r="I103" i="96" s="1"/>
  <c r="I113" i="96"/>
  <c r="J107" i="96"/>
  <c r="G107" i="99"/>
  <c r="Q107" i="96"/>
  <c r="D9" i="92"/>
  <c r="J103" i="90"/>
  <c r="Q103" i="90"/>
  <c r="J113" i="90"/>
  <c r="Q113" i="90"/>
  <c r="H120" i="75"/>
  <c r="M113" i="96" l="1"/>
  <c r="K103" i="96"/>
  <c r="M103" i="96" s="1"/>
  <c r="K107" i="99"/>
  <c r="N107" i="96"/>
  <c r="O107" i="96"/>
  <c r="E10" i="92"/>
  <c r="E9" i="92"/>
  <c r="I107" i="99"/>
  <c r="G113" i="99"/>
  <c r="J113" i="96"/>
  <c r="F15" i="97"/>
  <c r="Q113" i="96"/>
  <c r="J103" i="96"/>
  <c r="Q103" i="96"/>
  <c r="L139" i="75"/>
  <c r="H139" i="75"/>
  <c r="K113" i="99" l="1"/>
  <c r="M107" i="99"/>
  <c r="O103" i="96"/>
  <c r="N103" i="96"/>
  <c r="O113" i="96"/>
  <c r="H15" i="97"/>
  <c r="N113" i="96"/>
  <c r="I113" i="99"/>
  <c r="G103" i="99"/>
  <c r="I103" i="99" s="1"/>
  <c r="D9" i="98"/>
  <c r="J107" i="99"/>
  <c r="Q107" i="99"/>
  <c r="L182" i="75"/>
  <c r="H182" i="75"/>
  <c r="O107" i="99" l="1"/>
  <c r="N107" i="99"/>
  <c r="E10" i="98"/>
  <c r="E9" i="98"/>
  <c r="M113" i="99"/>
  <c r="K103" i="99"/>
  <c r="M103" i="99" s="1"/>
  <c r="Q103" i="99" s="1"/>
  <c r="J103" i="99"/>
  <c r="F15" i="100"/>
  <c r="Q113" i="99"/>
  <c r="J113" i="99"/>
  <c r="H16" i="75"/>
  <c r="H15" i="100" l="1"/>
  <c r="N113" i="99"/>
  <c r="O113" i="99"/>
  <c r="N103" i="99"/>
  <c r="O103" i="99"/>
  <c r="D9" i="101"/>
  <c r="L16" i="75"/>
  <c r="E9" i="101" l="1"/>
  <c r="E10" i="101"/>
  <c r="L120" i="75"/>
  <c r="L164" i="75" l="1"/>
  <c r="H164" i="75"/>
  <c r="Q467" i="75" l="1"/>
  <c r="S463" i="75" l="1"/>
  <c r="S255" i="75" s="1"/>
  <c r="L142" i="75"/>
  <c r="H142" i="75"/>
  <c r="K111" i="75" l="1"/>
  <c r="K109" i="75"/>
  <c r="K107" i="75"/>
  <c r="K87" i="75"/>
  <c r="M87" i="75" s="1"/>
  <c r="K87" i="78" s="1"/>
  <c r="M87" i="78" s="1"/>
  <c r="K58" i="75"/>
  <c r="M58" i="75" s="1"/>
  <c r="K58" i="78" s="1"/>
  <c r="M58" i="78" s="1"/>
  <c r="K56" i="75"/>
  <c r="M56" i="75" s="1"/>
  <c r="K56" i="78" s="1"/>
  <c r="G201" i="75"/>
  <c r="G111" i="75"/>
  <c r="G109" i="75"/>
  <c r="G107" i="75"/>
  <c r="G87" i="75"/>
  <c r="I87" i="75" s="1"/>
  <c r="G87" i="78" s="1"/>
  <c r="I87" i="78" s="1"/>
  <c r="G87" i="81" s="1"/>
  <c r="I87" i="81" s="1"/>
  <c r="G87" i="84" s="1"/>
  <c r="I87" i="84" s="1"/>
  <c r="G87" i="87" s="1"/>
  <c r="I87" i="87" s="1"/>
  <c r="G87" i="90" s="1"/>
  <c r="I87" i="90" s="1"/>
  <c r="G87" i="96" s="1"/>
  <c r="I87" i="96" s="1"/>
  <c r="G87" i="99" s="1"/>
  <c r="I87" i="99" s="1"/>
  <c r="G58" i="75"/>
  <c r="I58" i="75" s="1"/>
  <c r="G58" i="78" s="1"/>
  <c r="I58" i="78" s="1"/>
  <c r="G56" i="75"/>
  <c r="I56" i="75" s="1"/>
  <c r="G56" i="78" s="1"/>
  <c r="D17" i="76"/>
  <c r="D16" i="76" s="1"/>
  <c r="D12" i="76"/>
  <c r="D8" i="76"/>
  <c r="Q476" i="75"/>
  <c r="S472" i="75" s="1"/>
  <c r="S474" i="75" s="1"/>
  <c r="S461" i="75" s="1"/>
  <c r="Q461" i="75"/>
  <c r="Q459" i="75"/>
  <c r="Q458" i="75"/>
  <c r="L457" i="75"/>
  <c r="K457" i="75"/>
  <c r="H457" i="75"/>
  <c r="G457" i="75"/>
  <c r="D457" i="75"/>
  <c r="Q456" i="75"/>
  <c r="M455" i="75"/>
  <c r="I455" i="75"/>
  <c r="O455" i="75" s="1"/>
  <c r="Q454" i="75"/>
  <c r="M453" i="75"/>
  <c r="I453" i="75"/>
  <c r="O453" i="75" s="1"/>
  <c r="Q452" i="75"/>
  <c r="L451" i="75"/>
  <c r="K451" i="75"/>
  <c r="H451" i="75"/>
  <c r="G451" i="75"/>
  <c r="D451" i="75"/>
  <c r="Q450" i="75"/>
  <c r="L449" i="75"/>
  <c r="K449" i="75"/>
  <c r="H449" i="75"/>
  <c r="G449" i="75"/>
  <c r="D449" i="75"/>
  <c r="Q448" i="75"/>
  <c r="M447" i="75"/>
  <c r="N447" i="75" s="1"/>
  <c r="I447" i="75"/>
  <c r="O447" i="75" s="1"/>
  <c r="Q446" i="75"/>
  <c r="M445" i="75"/>
  <c r="N445" i="75" s="1"/>
  <c r="I445" i="75"/>
  <c r="J445" i="75" s="1"/>
  <c r="Q444" i="75"/>
  <c r="L443" i="75"/>
  <c r="K443" i="75"/>
  <c r="H443" i="75"/>
  <c r="G443" i="75"/>
  <c r="D443" i="75"/>
  <c r="Q442" i="75"/>
  <c r="Q441" i="75"/>
  <c r="Q440" i="75"/>
  <c r="Q439" i="75"/>
  <c r="Q438" i="75"/>
  <c r="Q437" i="75"/>
  <c r="Q436" i="75"/>
  <c r="Q435" i="75"/>
  <c r="Q434" i="75"/>
  <c r="Q433" i="75"/>
  <c r="Q432" i="75"/>
  <c r="Q431" i="75"/>
  <c r="Q430" i="75"/>
  <c r="Q429" i="75"/>
  <c r="Q428" i="75"/>
  <c r="Q427" i="75"/>
  <c r="Q426" i="75"/>
  <c r="Q425" i="75"/>
  <c r="Q424" i="75"/>
  <c r="Q423" i="75"/>
  <c r="Q422" i="75"/>
  <c r="Q421" i="75"/>
  <c r="Q420" i="75"/>
  <c r="Q419" i="75"/>
  <c r="L418" i="75"/>
  <c r="K418" i="75"/>
  <c r="H418" i="75"/>
  <c r="G418" i="75"/>
  <c r="D418" i="75"/>
  <c r="Q417" i="75"/>
  <c r="M416" i="75"/>
  <c r="N416" i="75" s="1"/>
  <c r="I416" i="75"/>
  <c r="O416" i="75" s="1"/>
  <c r="Q415" i="75"/>
  <c r="Q414" i="75"/>
  <c r="L413" i="75"/>
  <c r="K413" i="75"/>
  <c r="H413" i="75"/>
  <c r="G413" i="75"/>
  <c r="D413" i="75"/>
  <c r="Q412" i="75"/>
  <c r="Q411" i="75"/>
  <c r="L410" i="75"/>
  <c r="K410" i="75"/>
  <c r="M410" i="75" s="1"/>
  <c r="H410" i="75"/>
  <c r="G410" i="75"/>
  <c r="D410" i="75"/>
  <c r="Q409" i="75"/>
  <c r="M408" i="75"/>
  <c r="I408" i="75"/>
  <c r="J408" i="75" s="1"/>
  <c r="Q407" i="75"/>
  <c r="M406" i="75"/>
  <c r="I406" i="75"/>
  <c r="O406" i="75" s="1"/>
  <c r="Q405" i="75"/>
  <c r="M404" i="75"/>
  <c r="N404" i="75" s="1"/>
  <c r="I404" i="75"/>
  <c r="O404" i="75" s="1"/>
  <c r="Q403" i="75"/>
  <c r="M402" i="75"/>
  <c r="N402" i="75" s="1"/>
  <c r="I402" i="75"/>
  <c r="J402" i="75" s="1"/>
  <c r="Q401" i="75"/>
  <c r="M400" i="75"/>
  <c r="N400" i="75" s="1"/>
  <c r="I400" i="75"/>
  <c r="O400" i="75" s="1"/>
  <c r="Q399" i="75"/>
  <c r="M398" i="75"/>
  <c r="N398" i="75" s="1"/>
  <c r="I398" i="75"/>
  <c r="O398" i="75" s="1"/>
  <c r="Q397" i="75"/>
  <c r="Q396" i="75"/>
  <c r="M395" i="75"/>
  <c r="N395" i="75" s="1"/>
  <c r="I395" i="75"/>
  <c r="J395" i="75" s="1"/>
  <c r="Q394" i="75"/>
  <c r="M393" i="75"/>
  <c r="N393" i="75" s="1"/>
  <c r="I393" i="75"/>
  <c r="J393" i="75" s="1"/>
  <c r="Q392" i="75"/>
  <c r="M391" i="75"/>
  <c r="N391" i="75" s="1"/>
  <c r="I391" i="75"/>
  <c r="O391" i="75" s="1"/>
  <c r="Q390" i="75"/>
  <c r="L389" i="75"/>
  <c r="K389" i="75"/>
  <c r="H389" i="75"/>
  <c r="G389" i="75"/>
  <c r="D389" i="75"/>
  <c r="Q388" i="75"/>
  <c r="Q387" i="75"/>
  <c r="Q386" i="75"/>
  <c r="Q385" i="75"/>
  <c r="Q384" i="75"/>
  <c r="Q383" i="75"/>
  <c r="Q382" i="75"/>
  <c r="Q381" i="75"/>
  <c r="Q380" i="75"/>
  <c r="Q379" i="75"/>
  <c r="Q378" i="75"/>
  <c r="Q377" i="75"/>
  <c r="Q376" i="75"/>
  <c r="Q375" i="75"/>
  <c r="Q374" i="75"/>
  <c r="Q373" i="75"/>
  <c r="Q372" i="75"/>
  <c r="Q371" i="75"/>
  <c r="Q370" i="75"/>
  <c r="Q369" i="75"/>
  <c r="Q368" i="75"/>
  <c r="Q367" i="75"/>
  <c r="Q366" i="75"/>
  <c r="Q365" i="75"/>
  <c r="Q364" i="75"/>
  <c r="Q363" i="75"/>
  <c r="Q362" i="75"/>
  <c r="Q361" i="75"/>
  <c r="Q360" i="75"/>
  <c r="Q359" i="75"/>
  <c r="Q358" i="75"/>
  <c r="Q357" i="75"/>
  <c r="Q356" i="75"/>
  <c r="Q354" i="75"/>
  <c r="Q353" i="75"/>
  <c r="L352" i="75"/>
  <c r="K352" i="75"/>
  <c r="H352" i="75"/>
  <c r="G352" i="75"/>
  <c r="D352" i="75"/>
  <c r="Q351" i="75"/>
  <c r="M350" i="75"/>
  <c r="N350" i="75" s="1"/>
  <c r="I350" i="75"/>
  <c r="J350" i="75" s="1"/>
  <c r="Q349" i="75"/>
  <c r="Q348" i="75"/>
  <c r="L347" i="75"/>
  <c r="K347" i="75"/>
  <c r="M347" i="75" s="1"/>
  <c r="H347" i="75"/>
  <c r="G347" i="75"/>
  <c r="I347" i="75" s="1"/>
  <c r="D347" i="75"/>
  <c r="Q346" i="75"/>
  <c r="Q345" i="75"/>
  <c r="L344" i="75"/>
  <c r="K344" i="75"/>
  <c r="H344" i="75"/>
  <c r="G344" i="75"/>
  <c r="D344" i="75"/>
  <c r="Q343" i="75"/>
  <c r="O342" i="75"/>
  <c r="M342" i="75"/>
  <c r="I342" i="75"/>
  <c r="J342" i="75" s="1"/>
  <c r="Q341" i="75"/>
  <c r="M340" i="75"/>
  <c r="N340" i="75" s="1"/>
  <c r="I340" i="75"/>
  <c r="O340" i="75" s="1"/>
  <c r="Q339" i="75"/>
  <c r="M338" i="75"/>
  <c r="N338" i="75" s="1"/>
  <c r="I338" i="75"/>
  <c r="Q337" i="75"/>
  <c r="Q336" i="75"/>
  <c r="M335" i="75"/>
  <c r="N335" i="75" s="1"/>
  <c r="I335" i="75"/>
  <c r="O335" i="75" s="1"/>
  <c r="Q334" i="75"/>
  <c r="Q333" i="75"/>
  <c r="L332" i="75"/>
  <c r="K332" i="75"/>
  <c r="H332" i="75"/>
  <c r="G332" i="75"/>
  <c r="D332" i="75"/>
  <c r="Q331" i="75"/>
  <c r="Q330" i="75"/>
  <c r="Q329" i="75"/>
  <c r="Q328" i="75"/>
  <c r="Q327" i="75"/>
  <c r="Q326" i="75"/>
  <c r="Q325" i="75"/>
  <c r="Q324" i="75"/>
  <c r="Q323" i="75"/>
  <c r="Q322" i="75"/>
  <c r="Q321" i="75"/>
  <c r="Q320" i="75"/>
  <c r="Q319" i="75"/>
  <c r="Q318" i="75"/>
  <c r="Q317" i="75"/>
  <c r="Q316" i="75"/>
  <c r="Q315" i="75"/>
  <c r="Q314" i="75"/>
  <c r="Q313" i="75"/>
  <c r="Q312" i="75"/>
  <c r="Q311" i="75"/>
  <c r="Q310" i="75"/>
  <c r="Q309" i="75"/>
  <c r="Q308" i="75"/>
  <c r="Q307" i="75"/>
  <c r="Q306" i="75"/>
  <c r="Q305" i="75"/>
  <c r="Q304" i="75"/>
  <c r="Q303" i="75"/>
  <c r="Q302" i="75"/>
  <c r="Q301" i="75"/>
  <c r="Q300" i="75"/>
  <c r="L299" i="75"/>
  <c r="K299" i="75"/>
  <c r="H299" i="75"/>
  <c r="G299" i="75"/>
  <c r="D299" i="75"/>
  <c r="Q298" i="75"/>
  <c r="M297" i="75"/>
  <c r="N297" i="75" s="1"/>
  <c r="I297" i="75"/>
  <c r="J297" i="75" s="1"/>
  <c r="Q296" i="75"/>
  <c r="Q295" i="75"/>
  <c r="L294" i="75"/>
  <c r="K294" i="75"/>
  <c r="M294" i="75" s="1"/>
  <c r="H294" i="75"/>
  <c r="G294" i="75"/>
  <c r="D294" i="75"/>
  <c r="Q293" i="75"/>
  <c r="Q292" i="75"/>
  <c r="L291" i="75"/>
  <c r="K291" i="75"/>
  <c r="H291" i="75"/>
  <c r="G291" i="75"/>
  <c r="D291" i="75"/>
  <c r="Q290" i="75"/>
  <c r="M289" i="75"/>
  <c r="N289" i="75" s="1"/>
  <c r="I289" i="75"/>
  <c r="O289" i="75" s="1"/>
  <c r="Q288" i="75"/>
  <c r="M287" i="75"/>
  <c r="N287" i="75" s="1"/>
  <c r="I287" i="75"/>
  <c r="J287" i="75" s="1"/>
  <c r="Q286" i="75"/>
  <c r="M285" i="75"/>
  <c r="I285" i="75"/>
  <c r="O285" i="75" s="1"/>
  <c r="Q284" i="75"/>
  <c r="M283" i="75"/>
  <c r="I283" i="75"/>
  <c r="M282" i="75"/>
  <c r="N282" i="75" s="1"/>
  <c r="I282" i="75"/>
  <c r="Q281" i="75"/>
  <c r="M280" i="75"/>
  <c r="I280" i="75"/>
  <c r="J280" i="75" s="1"/>
  <c r="Q279" i="75"/>
  <c r="L278" i="75"/>
  <c r="K278" i="75"/>
  <c r="H278" i="75"/>
  <c r="G278" i="75"/>
  <c r="D278" i="75"/>
  <c r="Q277" i="75"/>
  <c r="Q276" i="75"/>
  <c r="Q275" i="75"/>
  <c r="Q274" i="75"/>
  <c r="Q273" i="75"/>
  <c r="Q272" i="75"/>
  <c r="Q271" i="75"/>
  <c r="Q270" i="75"/>
  <c r="Q269" i="75"/>
  <c r="Q268" i="75"/>
  <c r="Q267" i="75"/>
  <c r="Q266" i="75"/>
  <c r="Q265" i="75"/>
  <c r="Q264" i="75"/>
  <c r="Q263" i="75"/>
  <c r="Q262" i="75"/>
  <c r="Q261" i="75"/>
  <c r="Q260" i="75"/>
  <c r="Q259" i="75"/>
  <c r="Q258" i="75"/>
  <c r="Q257" i="75"/>
  <c r="Q256" i="75"/>
  <c r="Q255" i="75"/>
  <c r="L251" i="75"/>
  <c r="H251" i="75"/>
  <c r="H245" i="75" s="1"/>
  <c r="E251" i="75"/>
  <c r="D251" i="75"/>
  <c r="F249" i="75"/>
  <c r="F247" i="75"/>
  <c r="L245" i="75"/>
  <c r="E245" i="75"/>
  <c r="D245" i="75"/>
  <c r="L243" i="75"/>
  <c r="H243" i="75"/>
  <c r="E243" i="75"/>
  <c r="D243" i="75"/>
  <c r="F241" i="75"/>
  <c r="L239" i="75"/>
  <c r="H239" i="75"/>
  <c r="D239" i="75"/>
  <c r="F239" i="75" s="1"/>
  <c r="E237" i="75"/>
  <c r="E229" i="75" s="1"/>
  <c r="D229" i="75"/>
  <c r="F231" i="75"/>
  <c r="H229" i="75"/>
  <c r="E227" i="75"/>
  <c r="E221" i="75" s="1"/>
  <c r="D227" i="75"/>
  <c r="D221" i="75" s="1"/>
  <c r="L227" i="75"/>
  <c r="L221" i="75" s="1"/>
  <c r="H227" i="75"/>
  <c r="H221" i="75" s="1"/>
  <c r="F225" i="75"/>
  <c r="F223" i="75"/>
  <c r="L219" i="75"/>
  <c r="H219" i="75"/>
  <c r="E219" i="75"/>
  <c r="D219" i="75"/>
  <c r="F217" i="75"/>
  <c r="F215" i="75"/>
  <c r="F213" i="75"/>
  <c r="F211" i="75"/>
  <c r="I210" i="75"/>
  <c r="F209" i="75"/>
  <c r="L207" i="75"/>
  <c r="H207" i="75"/>
  <c r="D207" i="75"/>
  <c r="F207" i="75" s="1"/>
  <c r="L205" i="75"/>
  <c r="H205" i="75"/>
  <c r="E205" i="75"/>
  <c r="D205" i="75"/>
  <c r="F203" i="75"/>
  <c r="F201" i="75"/>
  <c r="J201" i="75" s="1"/>
  <c r="L199" i="75"/>
  <c r="H199" i="75"/>
  <c r="D199" i="75"/>
  <c r="F199" i="75" s="1"/>
  <c r="Q193" i="75"/>
  <c r="L192" i="75"/>
  <c r="H192" i="75"/>
  <c r="E192" i="75"/>
  <c r="D192" i="75"/>
  <c r="F190" i="75"/>
  <c r="F188" i="75"/>
  <c r="F186" i="75"/>
  <c r="F184" i="75"/>
  <c r="D182" i="75"/>
  <c r="D180" i="75" s="1"/>
  <c r="L180" i="75"/>
  <c r="H180" i="75"/>
  <c r="E180" i="75"/>
  <c r="Q176" i="75"/>
  <c r="L173" i="75"/>
  <c r="H173" i="75"/>
  <c r="E173" i="75"/>
  <c r="D173" i="75"/>
  <c r="F171" i="75"/>
  <c r="F173" i="75" s="1"/>
  <c r="L169" i="75"/>
  <c r="H169" i="75"/>
  <c r="D169" i="75"/>
  <c r="F169" i="75" s="1"/>
  <c r="L166" i="75"/>
  <c r="H166" i="75"/>
  <c r="E166" i="75"/>
  <c r="D166" i="75"/>
  <c r="F164" i="75"/>
  <c r="F166" i="75" s="1"/>
  <c r="L162" i="75"/>
  <c r="H162" i="75"/>
  <c r="D162" i="75"/>
  <c r="F162" i="75" s="1"/>
  <c r="L160" i="75"/>
  <c r="H160" i="75"/>
  <c r="E160" i="75"/>
  <c r="D160" i="75"/>
  <c r="F158" i="75"/>
  <c r="F156" i="75"/>
  <c r="M154" i="75"/>
  <c r="H154" i="75"/>
  <c r="D154" i="75"/>
  <c r="F154" i="75" s="1"/>
  <c r="H152" i="75"/>
  <c r="D152" i="75"/>
  <c r="F150" i="75"/>
  <c r="F152" i="75" s="1"/>
  <c r="M148" i="75"/>
  <c r="H148" i="75"/>
  <c r="D148" i="75"/>
  <c r="F148" i="75" s="1"/>
  <c r="H147" i="75"/>
  <c r="E147" i="75"/>
  <c r="D147" i="75"/>
  <c r="F146" i="75"/>
  <c r="F144" i="75"/>
  <c r="F142" i="75"/>
  <c r="L140" i="75"/>
  <c r="H140" i="75"/>
  <c r="E140" i="75"/>
  <c r="D140" i="75"/>
  <c r="G139" i="75"/>
  <c r="D139" i="75"/>
  <c r="F137" i="75"/>
  <c r="F135" i="75"/>
  <c r="F133" i="75" s="1"/>
  <c r="L133" i="75"/>
  <c r="H133" i="75"/>
  <c r="E133" i="75"/>
  <c r="D133" i="75"/>
  <c r="D131" i="75" s="1"/>
  <c r="Q127" i="75"/>
  <c r="L126" i="75"/>
  <c r="L118" i="75" s="1"/>
  <c r="H126" i="75"/>
  <c r="H118" i="75" s="1"/>
  <c r="E126" i="75"/>
  <c r="D126" i="75"/>
  <c r="D118" i="75" s="1"/>
  <c r="F124" i="75"/>
  <c r="F122" i="75"/>
  <c r="F120" i="75"/>
  <c r="Q116" i="75"/>
  <c r="Q114" i="75"/>
  <c r="L113" i="75"/>
  <c r="L103" i="75" s="1"/>
  <c r="H113" i="75"/>
  <c r="E113" i="75"/>
  <c r="D113" i="75"/>
  <c r="D103" i="75" s="1"/>
  <c r="Q111" i="75"/>
  <c r="N111" i="75"/>
  <c r="F111" i="75"/>
  <c r="J111" i="75" s="1"/>
  <c r="Q109" i="75"/>
  <c r="N109" i="75"/>
  <c r="F109" i="75"/>
  <c r="J109" i="75" s="1"/>
  <c r="Q107" i="75"/>
  <c r="N107" i="75"/>
  <c r="F107" i="75"/>
  <c r="D105" i="75"/>
  <c r="F105" i="75" s="1"/>
  <c r="H103" i="75"/>
  <c r="Q101" i="75"/>
  <c r="Q99" i="75"/>
  <c r="E98" i="75"/>
  <c r="E82" i="75" s="1"/>
  <c r="L96" i="75"/>
  <c r="H96" i="75"/>
  <c r="D96" i="75"/>
  <c r="F95" i="75"/>
  <c r="L93" i="75"/>
  <c r="H93" i="75"/>
  <c r="D93" i="75"/>
  <c r="F93" i="75" s="1"/>
  <c r="L91" i="75"/>
  <c r="H91" i="75"/>
  <c r="D91" i="75"/>
  <c r="F89" i="75"/>
  <c r="F87" i="75"/>
  <c r="F85" i="75"/>
  <c r="L83" i="75"/>
  <c r="D83" i="75"/>
  <c r="Q78" i="75"/>
  <c r="L77" i="75"/>
  <c r="L67" i="75" s="1"/>
  <c r="H77" i="75"/>
  <c r="H67" i="75" s="1"/>
  <c r="E77" i="75"/>
  <c r="E67" i="75" s="1"/>
  <c r="F67" i="75" s="1"/>
  <c r="D77" i="75"/>
  <c r="F75" i="75"/>
  <c r="F73" i="75"/>
  <c r="F71" i="75"/>
  <c r="M69" i="75"/>
  <c r="I69" i="75"/>
  <c r="D69" i="75"/>
  <c r="D67" i="75" s="1"/>
  <c r="Q63" i="75"/>
  <c r="L62" i="75"/>
  <c r="L52" i="75" s="1"/>
  <c r="H62" i="75"/>
  <c r="E62" i="75"/>
  <c r="E52" i="75" s="1"/>
  <c r="D62" i="75"/>
  <c r="D52" i="75" s="1"/>
  <c r="F60" i="75"/>
  <c r="Q58" i="75"/>
  <c r="F58" i="75"/>
  <c r="O58" i="75" s="1"/>
  <c r="Q56" i="75"/>
  <c r="F56" i="75"/>
  <c r="J56" i="75" s="1"/>
  <c r="H54" i="75"/>
  <c r="D54" i="75"/>
  <c r="F54" i="75" s="1"/>
  <c r="Q51" i="75"/>
  <c r="Q48" i="75"/>
  <c r="E47" i="75"/>
  <c r="L45" i="75"/>
  <c r="L35" i="75" s="1"/>
  <c r="H45" i="75"/>
  <c r="H35" i="75" s="1"/>
  <c r="D45" i="75"/>
  <c r="F43" i="75"/>
  <c r="F41" i="75"/>
  <c r="F39" i="75"/>
  <c r="M37" i="75"/>
  <c r="I37" i="75"/>
  <c r="D37" i="75"/>
  <c r="F37" i="75" s="1"/>
  <c r="E35" i="75"/>
  <c r="Q31" i="75"/>
  <c r="L28" i="75"/>
  <c r="H28" i="75"/>
  <c r="E28" i="75"/>
  <c r="D28" i="75"/>
  <c r="F26" i="75"/>
  <c r="L24" i="75"/>
  <c r="H24" i="75"/>
  <c r="D24" i="75"/>
  <c r="L22" i="75"/>
  <c r="H22" i="75"/>
  <c r="D22" i="75"/>
  <c r="F20" i="75"/>
  <c r="F18" i="75"/>
  <c r="F16" i="75"/>
  <c r="L14" i="75"/>
  <c r="H14" i="75"/>
  <c r="D14" i="75"/>
  <c r="F14" i="75" s="1"/>
  <c r="E12" i="75"/>
  <c r="E30" i="75" s="1"/>
  <c r="F205" i="75" l="1"/>
  <c r="I457" i="75"/>
  <c r="J457" i="75" s="1"/>
  <c r="F219" i="75"/>
  <c r="I413" i="75"/>
  <c r="E131" i="75"/>
  <c r="F227" i="75"/>
  <c r="H131" i="75"/>
  <c r="H355" i="75"/>
  <c r="F221" i="75"/>
  <c r="I278" i="75"/>
  <c r="J278" i="75" s="1"/>
  <c r="D30" i="75"/>
  <c r="D175" i="75"/>
  <c r="M278" i="75"/>
  <c r="Q338" i="75"/>
  <c r="I418" i="75"/>
  <c r="J418" i="75" s="1"/>
  <c r="G58" i="81"/>
  <c r="I58" i="81" s="1"/>
  <c r="J58" i="78"/>
  <c r="O87" i="78"/>
  <c r="Q87" i="78"/>
  <c r="K87" i="81"/>
  <c r="M87" i="81" s="1"/>
  <c r="K87" i="84" s="1"/>
  <c r="M87" i="84" s="1"/>
  <c r="N87" i="78"/>
  <c r="H175" i="75"/>
  <c r="I294" i="75"/>
  <c r="J294" i="75" s="1"/>
  <c r="I352" i="75"/>
  <c r="I389" i="75"/>
  <c r="J389" i="75" s="1"/>
  <c r="I443" i="75"/>
  <c r="J443" i="75" s="1"/>
  <c r="J400" i="75"/>
  <c r="L131" i="75"/>
  <c r="Q400" i="75"/>
  <c r="I410" i="75"/>
  <c r="O410" i="75" s="1"/>
  <c r="M56" i="78"/>
  <c r="I56" i="78"/>
  <c r="O58" i="78"/>
  <c r="K58" i="81"/>
  <c r="M58" i="81" s="1"/>
  <c r="K58" i="84" s="1"/>
  <c r="M58" i="84" s="1"/>
  <c r="N58" i="78"/>
  <c r="Q58" i="78"/>
  <c r="K113" i="75"/>
  <c r="M113" i="75" s="1"/>
  <c r="H15" i="76" s="1"/>
  <c r="F28" i="75"/>
  <c r="O109" i="75"/>
  <c r="Q280" i="75"/>
  <c r="Q283" i="75"/>
  <c r="I299" i="75"/>
  <c r="J299" i="75" s="1"/>
  <c r="J391" i="75"/>
  <c r="M413" i="75"/>
  <c r="N413" i="75" s="1"/>
  <c r="M418" i="75"/>
  <c r="N418" i="75" s="1"/>
  <c r="M443" i="75"/>
  <c r="N443" i="75" s="1"/>
  <c r="F175" i="75"/>
  <c r="L355" i="75"/>
  <c r="F91" i="75"/>
  <c r="F113" i="75"/>
  <c r="D254" i="75"/>
  <c r="M299" i="75"/>
  <c r="N299" i="75" s="1"/>
  <c r="Q342" i="75"/>
  <c r="I344" i="75"/>
  <c r="M457" i="75"/>
  <c r="N457" i="75" s="1"/>
  <c r="Q289" i="75"/>
  <c r="K355" i="75"/>
  <c r="O389" i="75"/>
  <c r="Q37" i="75"/>
  <c r="F52" i="75"/>
  <c r="Q69" i="75"/>
  <c r="F77" i="75"/>
  <c r="O111" i="75"/>
  <c r="F139" i="75"/>
  <c r="F182" i="75"/>
  <c r="F180" i="75" s="1"/>
  <c r="E197" i="75"/>
  <c r="J285" i="75"/>
  <c r="Q287" i="75"/>
  <c r="J289" i="75"/>
  <c r="Q297" i="75"/>
  <c r="Q335" i="75"/>
  <c r="J338" i="75"/>
  <c r="J340" i="75"/>
  <c r="M344" i="75"/>
  <c r="N344" i="75" s="1"/>
  <c r="Q350" i="75"/>
  <c r="M389" i="75"/>
  <c r="Q389" i="75" s="1"/>
  <c r="Q391" i="75"/>
  <c r="Q393" i="75"/>
  <c r="Q395" i="75"/>
  <c r="Q402" i="75"/>
  <c r="J406" i="75"/>
  <c r="J416" i="75"/>
  <c r="Q445" i="75"/>
  <c r="I449" i="75"/>
  <c r="J449" i="75" s="1"/>
  <c r="J453" i="75"/>
  <c r="J455" i="75"/>
  <c r="E103" i="75"/>
  <c r="F103" i="75" s="1"/>
  <c r="M352" i="75"/>
  <c r="Q398" i="75"/>
  <c r="Q404" i="75"/>
  <c r="J413" i="75"/>
  <c r="Q455" i="75"/>
  <c r="F62" i="75"/>
  <c r="N280" i="75"/>
  <c r="O297" i="75"/>
  <c r="J335" i="75"/>
  <c r="Q340" i="75"/>
  <c r="O347" i="75"/>
  <c r="O393" i="75"/>
  <c r="J398" i="75"/>
  <c r="Q416" i="75"/>
  <c r="I451" i="75"/>
  <c r="J451" i="75" s="1"/>
  <c r="N455" i="75"/>
  <c r="G113" i="75"/>
  <c r="G103" i="75" s="1"/>
  <c r="I103" i="75" s="1"/>
  <c r="J103" i="75" s="1"/>
  <c r="E10" i="77"/>
  <c r="E9" i="77"/>
  <c r="H98" i="75"/>
  <c r="H82" i="75"/>
  <c r="L98" i="75"/>
  <c r="L82" i="75"/>
  <c r="L12" i="75"/>
  <c r="L30" i="75" s="1"/>
  <c r="H12" i="75"/>
  <c r="H30" i="75" s="1"/>
  <c r="H197" i="75"/>
  <c r="K103" i="75"/>
  <c r="M103" i="75" s="1"/>
  <c r="N103" i="75" s="1"/>
  <c r="H254" i="75"/>
  <c r="D21" i="76"/>
  <c r="Q282" i="75"/>
  <c r="J282" i="75"/>
  <c r="Q457" i="75"/>
  <c r="F22" i="75"/>
  <c r="D12" i="75"/>
  <c r="F24" i="75"/>
  <c r="F12" i="75" s="1"/>
  <c r="O107" i="75"/>
  <c r="J107" i="75"/>
  <c r="N37" i="75"/>
  <c r="H47" i="75"/>
  <c r="N58" i="75"/>
  <c r="J58" i="75"/>
  <c r="F69" i="75"/>
  <c r="O69" i="75" s="1"/>
  <c r="O113" i="75"/>
  <c r="E118" i="75"/>
  <c r="F118" i="75" s="1"/>
  <c r="F126" i="75"/>
  <c r="F192" i="75"/>
  <c r="Q285" i="75"/>
  <c r="N285" i="75"/>
  <c r="Q408" i="75"/>
  <c r="N408" i="75"/>
  <c r="L47" i="75"/>
  <c r="N148" i="75"/>
  <c r="F243" i="75"/>
  <c r="N69" i="75"/>
  <c r="O148" i="75"/>
  <c r="N154" i="75"/>
  <c r="J37" i="75"/>
  <c r="O37" i="75"/>
  <c r="D35" i="75"/>
  <c r="F35" i="75" s="1"/>
  <c r="F45" i="75"/>
  <c r="D47" i="75"/>
  <c r="F47" i="75" s="1"/>
  <c r="H52" i="75"/>
  <c r="O56" i="75"/>
  <c r="N56" i="75"/>
  <c r="D82" i="75"/>
  <c r="F82" i="75" s="1"/>
  <c r="F83" i="75"/>
  <c r="D98" i="75"/>
  <c r="F98" i="75" s="1"/>
  <c r="O282" i="75"/>
  <c r="N406" i="75"/>
  <c r="Q406" i="75"/>
  <c r="O154" i="75"/>
  <c r="Q278" i="75"/>
  <c r="I139" i="75"/>
  <c r="F160" i="75"/>
  <c r="D197" i="75"/>
  <c r="F197" i="75" s="1"/>
  <c r="L254" i="75"/>
  <c r="L229" i="75"/>
  <c r="O278" i="75"/>
  <c r="N278" i="75"/>
  <c r="N294" i="75"/>
  <c r="I332" i="75"/>
  <c r="J447" i="75"/>
  <c r="Q447" i="75"/>
  <c r="N453" i="75"/>
  <c r="Q453" i="75"/>
  <c r="O451" i="75"/>
  <c r="O457" i="75"/>
  <c r="F147" i="75"/>
  <c r="F140" i="75"/>
  <c r="F131" i="75" s="1"/>
  <c r="L147" i="75"/>
  <c r="L175" i="75" s="1"/>
  <c r="E254" i="75"/>
  <c r="E460" i="75" s="1"/>
  <c r="I291" i="75"/>
  <c r="J347" i="75"/>
  <c r="N347" i="75"/>
  <c r="G355" i="75"/>
  <c r="I355" i="75" s="1"/>
  <c r="Q413" i="75"/>
  <c r="O418" i="75"/>
  <c r="O443" i="75"/>
  <c r="F245" i="75"/>
  <c r="F251" i="75"/>
  <c r="O280" i="75"/>
  <c r="O287" i="75"/>
  <c r="M291" i="75"/>
  <c r="M332" i="75"/>
  <c r="O338" i="75"/>
  <c r="Q344" i="75"/>
  <c r="O395" i="75"/>
  <c r="Q410" i="75"/>
  <c r="O413" i="75"/>
  <c r="O445" i="75"/>
  <c r="M449" i="75"/>
  <c r="M451" i="75"/>
  <c r="F237" i="75"/>
  <c r="Q347" i="75"/>
  <c r="D355" i="75"/>
  <c r="O352" i="75"/>
  <c r="J352" i="75"/>
  <c r="J410" i="75"/>
  <c r="N410" i="75"/>
  <c r="O350" i="75"/>
  <c r="O402" i="75"/>
  <c r="O408" i="75"/>
  <c r="H226" i="11"/>
  <c r="M226" i="11"/>
  <c r="K225" i="75" s="1"/>
  <c r="M225" i="75" s="1"/>
  <c r="K225" i="78" s="1"/>
  <c r="Q469" i="11"/>
  <c r="S465" i="11"/>
  <c r="L226" i="11"/>
  <c r="L142" i="11"/>
  <c r="H142" i="11"/>
  <c r="C13" i="100" l="1"/>
  <c r="C13" i="97"/>
  <c r="C13" i="91"/>
  <c r="C13" i="88"/>
  <c r="C13" i="85"/>
  <c r="K58" i="87"/>
  <c r="M58" i="87" s="1"/>
  <c r="O58" i="84"/>
  <c r="Q58" i="84"/>
  <c r="N58" i="84"/>
  <c r="N87" i="84"/>
  <c r="O87" i="84"/>
  <c r="K87" i="87"/>
  <c r="M87" i="87" s="1"/>
  <c r="Q87" i="84"/>
  <c r="Q352" i="75"/>
  <c r="J58" i="81"/>
  <c r="G58" i="84"/>
  <c r="I58" i="84" s="1"/>
  <c r="Q418" i="75"/>
  <c r="Q87" i="81"/>
  <c r="C13" i="82"/>
  <c r="C13" i="79"/>
  <c r="C13" i="76"/>
  <c r="K56" i="81"/>
  <c r="O56" i="78"/>
  <c r="Q56" i="78"/>
  <c r="N56" i="78"/>
  <c r="M225" i="78"/>
  <c r="N58" i="81"/>
  <c r="Q58" i="81"/>
  <c r="O58" i="81"/>
  <c r="G56" i="81"/>
  <c r="J56" i="78"/>
  <c r="N389" i="75"/>
  <c r="O294" i="75"/>
  <c r="Q443" i="75"/>
  <c r="Q294" i="75"/>
  <c r="M355" i="75"/>
  <c r="Q355" i="75" s="1"/>
  <c r="N87" i="81"/>
  <c r="O87" i="81"/>
  <c r="O225" i="75"/>
  <c r="N225" i="75"/>
  <c r="I113" i="75"/>
  <c r="F15" i="76" s="1"/>
  <c r="J344" i="75"/>
  <c r="O344" i="75"/>
  <c r="O103" i="75"/>
  <c r="Q299" i="75"/>
  <c r="O299" i="75"/>
  <c r="N352" i="75"/>
  <c r="J355" i="75"/>
  <c r="Q103" i="75"/>
  <c r="O449" i="75"/>
  <c r="J69" i="75"/>
  <c r="J113" i="75"/>
  <c r="H460" i="75"/>
  <c r="F229" i="75"/>
  <c r="N451" i="75"/>
  <c r="Q451" i="75"/>
  <c r="F254" i="75"/>
  <c r="O355" i="75"/>
  <c r="N449" i="75"/>
  <c r="Q449" i="75"/>
  <c r="N332" i="75"/>
  <c r="Q332" i="75"/>
  <c r="L197" i="75"/>
  <c r="F96" i="75"/>
  <c r="F30" i="75"/>
  <c r="J291" i="75"/>
  <c r="O291" i="75"/>
  <c r="J139" i="75"/>
  <c r="N291" i="75"/>
  <c r="Q291" i="75"/>
  <c r="J332" i="75"/>
  <c r="O332" i="75"/>
  <c r="D460" i="75"/>
  <c r="D148" i="11"/>
  <c r="D140" i="11"/>
  <c r="D133" i="11"/>
  <c r="D83" i="11"/>
  <c r="F251" i="11"/>
  <c r="F249" i="11"/>
  <c r="F242" i="11"/>
  <c r="F232" i="11"/>
  <c r="F226" i="11"/>
  <c r="O226" i="11" s="1"/>
  <c r="F224" i="11"/>
  <c r="F218" i="11"/>
  <c r="F216" i="11"/>
  <c r="F214" i="11"/>
  <c r="F212" i="11"/>
  <c r="F210" i="11"/>
  <c r="F204" i="11"/>
  <c r="F202" i="11"/>
  <c r="F124" i="11"/>
  <c r="F122" i="11"/>
  <c r="F120" i="11"/>
  <c r="F111" i="11"/>
  <c r="O111" i="11" s="1"/>
  <c r="F109" i="11"/>
  <c r="O109" i="11" s="1"/>
  <c r="F107" i="11"/>
  <c r="O107" i="11" s="1"/>
  <c r="F95" i="11"/>
  <c r="F85" i="11"/>
  <c r="F87" i="11"/>
  <c r="F75" i="11"/>
  <c r="F73" i="11"/>
  <c r="F71" i="11"/>
  <c r="F60" i="11"/>
  <c r="F58" i="11"/>
  <c r="F56" i="11"/>
  <c r="F43" i="11"/>
  <c r="F41" i="11"/>
  <c r="F39" i="11"/>
  <c r="F26" i="11"/>
  <c r="F20" i="11"/>
  <c r="F18" i="11"/>
  <c r="F16" i="11"/>
  <c r="K87" i="90" l="1"/>
  <c r="M87" i="90" s="1"/>
  <c r="Q87" i="87"/>
  <c r="N87" i="87"/>
  <c r="O87" i="87"/>
  <c r="C7" i="101"/>
  <c r="C7" i="98"/>
  <c r="C7" i="92"/>
  <c r="C7" i="89"/>
  <c r="C7" i="86"/>
  <c r="N355" i="75"/>
  <c r="Q58" i="87"/>
  <c r="O58" i="87"/>
  <c r="N58" i="87"/>
  <c r="K58" i="90"/>
  <c r="M58" i="90" s="1"/>
  <c r="E13" i="85"/>
  <c r="G58" i="87"/>
  <c r="I58" i="87" s="1"/>
  <c r="J58" i="84"/>
  <c r="E13" i="88"/>
  <c r="E13" i="91"/>
  <c r="E13" i="97"/>
  <c r="E13" i="100"/>
  <c r="M56" i="81"/>
  <c r="K56" i="84" s="1"/>
  <c r="Q113" i="75"/>
  <c r="C7" i="83"/>
  <c r="C7" i="80"/>
  <c r="C7" i="77"/>
  <c r="E13" i="79"/>
  <c r="I56" i="81"/>
  <c r="N225" i="78"/>
  <c r="O225" i="78"/>
  <c r="K225" i="81"/>
  <c r="M225" i="81" s="1"/>
  <c r="K225" i="84" s="1"/>
  <c r="M225" i="84" s="1"/>
  <c r="E13" i="82"/>
  <c r="D9" i="77"/>
  <c r="L460" i="75"/>
  <c r="S476" i="75" s="1"/>
  <c r="S477" i="75" s="1"/>
  <c r="F460" i="75"/>
  <c r="M69" i="11"/>
  <c r="M75" i="11"/>
  <c r="K75" i="75" s="1"/>
  <c r="M75" i="75" s="1"/>
  <c r="K75" i="78" s="1"/>
  <c r="M75" i="78" s="1"/>
  <c r="M73" i="11"/>
  <c r="K73" i="75" s="1"/>
  <c r="M73" i="75" s="1"/>
  <c r="K73" i="78" s="1"/>
  <c r="M73" i="78" s="1"/>
  <c r="M71" i="11"/>
  <c r="I75" i="11"/>
  <c r="G75" i="75" s="1"/>
  <c r="I75" i="75" s="1"/>
  <c r="I73" i="11"/>
  <c r="G73" i="75" s="1"/>
  <c r="I69" i="11"/>
  <c r="I71" i="11"/>
  <c r="I211" i="11"/>
  <c r="I210" i="11"/>
  <c r="I218" i="11"/>
  <c r="G217" i="75" s="1"/>
  <c r="I217" i="75" s="1"/>
  <c r="I216" i="11"/>
  <c r="G215" i="75" s="1"/>
  <c r="I215" i="75" s="1"/>
  <c r="I251" i="11"/>
  <c r="G249" i="75" s="1"/>
  <c r="I249" i="75" s="1"/>
  <c r="L220" i="11"/>
  <c r="I171" i="11"/>
  <c r="G171" i="75" s="1"/>
  <c r="J202" i="11"/>
  <c r="E147" i="11"/>
  <c r="E133" i="11"/>
  <c r="J109" i="11"/>
  <c r="J56" i="11"/>
  <c r="L83" i="11"/>
  <c r="K83" i="11"/>
  <c r="L96" i="11"/>
  <c r="K96" i="11"/>
  <c r="H96" i="11"/>
  <c r="G96" i="11"/>
  <c r="L91" i="11"/>
  <c r="K91" i="11"/>
  <c r="M91" i="11" s="1"/>
  <c r="L93" i="11"/>
  <c r="K93" i="11"/>
  <c r="H93" i="11"/>
  <c r="G93" i="11"/>
  <c r="H83" i="11"/>
  <c r="G83" i="11"/>
  <c r="G82" i="11" s="1"/>
  <c r="F83" i="11"/>
  <c r="H91" i="11"/>
  <c r="G91" i="11"/>
  <c r="D91" i="11"/>
  <c r="K24" i="11"/>
  <c r="D24" i="11"/>
  <c r="F24" i="11" s="1"/>
  <c r="H24" i="11"/>
  <c r="H22" i="11"/>
  <c r="K22" i="11"/>
  <c r="L22" i="11"/>
  <c r="L14" i="11"/>
  <c r="K14" i="11"/>
  <c r="M14" i="11" s="1"/>
  <c r="G14" i="11"/>
  <c r="H14" i="11"/>
  <c r="L77" i="11"/>
  <c r="K77" i="11"/>
  <c r="K67" i="11" s="1"/>
  <c r="H166" i="11"/>
  <c r="L162" i="11"/>
  <c r="K162" i="11"/>
  <c r="H162" i="11"/>
  <c r="G162" i="11"/>
  <c r="G166" i="11" s="1"/>
  <c r="D174" i="11"/>
  <c r="D169" i="11"/>
  <c r="F169" i="11" s="1"/>
  <c r="L244" i="11"/>
  <c r="K244" i="11"/>
  <c r="H244" i="11"/>
  <c r="G244" i="11"/>
  <c r="I244" i="11" s="1"/>
  <c r="E244" i="11"/>
  <c r="D244" i="11"/>
  <c r="D240" i="11"/>
  <c r="F240" i="11" s="1"/>
  <c r="M242" i="11"/>
  <c r="K241" i="75" s="1"/>
  <c r="I242" i="11"/>
  <c r="G241" i="75" s="1"/>
  <c r="F244" i="11"/>
  <c r="L240" i="11"/>
  <c r="K240" i="11"/>
  <c r="H240" i="11"/>
  <c r="G240" i="11"/>
  <c r="L140" i="11"/>
  <c r="K140" i="11"/>
  <c r="L253" i="11"/>
  <c r="K253" i="11"/>
  <c r="E253" i="11"/>
  <c r="L247" i="11"/>
  <c r="K247" i="11"/>
  <c r="M247" i="11" s="1"/>
  <c r="E247" i="11"/>
  <c r="E220" i="11"/>
  <c r="L206" i="11"/>
  <c r="K206" i="11"/>
  <c r="E206" i="11"/>
  <c r="L166" i="11"/>
  <c r="M166" i="11" s="1"/>
  <c r="N166" i="11" s="1"/>
  <c r="K166" i="11"/>
  <c r="E166" i="11"/>
  <c r="L160" i="11"/>
  <c r="K160" i="11"/>
  <c r="E160" i="11"/>
  <c r="L28" i="11"/>
  <c r="K28" i="11"/>
  <c r="E28" i="11"/>
  <c r="H206" i="11"/>
  <c r="G206" i="11"/>
  <c r="L200" i="11"/>
  <c r="K200" i="11"/>
  <c r="H200" i="11"/>
  <c r="G200" i="11"/>
  <c r="D200" i="11"/>
  <c r="F200" i="11" s="1"/>
  <c r="D206" i="11"/>
  <c r="F206" i="11" s="1"/>
  <c r="M204" i="11"/>
  <c r="K203" i="75" s="1"/>
  <c r="M203" i="75" s="1"/>
  <c r="K203" i="78" s="1"/>
  <c r="M203" i="78" s="1"/>
  <c r="I204" i="11"/>
  <c r="N204" i="11"/>
  <c r="M202" i="11"/>
  <c r="Q202" i="11" s="1"/>
  <c r="G140" i="11"/>
  <c r="D247" i="11"/>
  <c r="D166" i="11"/>
  <c r="D162" i="11"/>
  <c r="F162" i="11" s="1"/>
  <c r="M164" i="11"/>
  <c r="K164" i="75" s="1"/>
  <c r="I164" i="11"/>
  <c r="F164" i="11"/>
  <c r="G22" i="11"/>
  <c r="L208" i="11"/>
  <c r="K208" i="11"/>
  <c r="K220" i="11" s="1"/>
  <c r="M220" i="11" s="1"/>
  <c r="H208" i="11"/>
  <c r="G208" i="11"/>
  <c r="L133" i="11"/>
  <c r="L131" i="11" s="1"/>
  <c r="K133" i="11"/>
  <c r="H133" i="11"/>
  <c r="G133" i="11"/>
  <c r="K147" i="11"/>
  <c r="G147" i="11"/>
  <c r="L147" i="11"/>
  <c r="H147" i="11"/>
  <c r="H140" i="11"/>
  <c r="D96" i="11"/>
  <c r="H152" i="11"/>
  <c r="G152" i="11"/>
  <c r="I152" i="11" s="1"/>
  <c r="H148" i="11"/>
  <c r="G148" i="11"/>
  <c r="D77" i="11"/>
  <c r="D147" i="11"/>
  <c r="D139" i="11"/>
  <c r="F139" i="11" s="1"/>
  <c r="L139" i="11"/>
  <c r="K139" i="11"/>
  <c r="H139" i="11"/>
  <c r="G139" i="11"/>
  <c r="M137" i="11"/>
  <c r="I137" i="11"/>
  <c r="G137" i="75" s="1"/>
  <c r="F137" i="11"/>
  <c r="M135" i="11"/>
  <c r="K135" i="75" s="1"/>
  <c r="I135" i="11"/>
  <c r="F135" i="11"/>
  <c r="E98" i="11"/>
  <c r="E82" i="11" s="1"/>
  <c r="D93" i="11"/>
  <c r="M95" i="11"/>
  <c r="O95" i="11" s="1"/>
  <c r="I95" i="11"/>
  <c r="D14" i="11"/>
  <c r="D22" i="11"/>
  <c r="M18" i="11"/>
  <c r="N18" i="11" s="1"/>
  <c r="I18" i="11"/>
  <c r="D152" i="11"/>
  <c r="M142" i="11"/>
  <c r="L169" i="11"/>
  <c r="K169" i="11"/>
  <c r="L174" i="11"/>
  <c r="K174" i="11"/>
  <c r="I142" i="11"/>
  <c r="G142" i="75" s="1"/>
  <c r="E174" i="11"/>
  <c r="E140" i="11"/>
  <c r="H174" i="11"/>
  <c r="G174" i="11"/>
  <c r="M171" i="11"/>
  <c r="K171" i="75" s="1"/>
  <c r="F171" i="11"/>
  <c r="H169" i="11"/>
  <c r="I169" i="11" s="1"/>
  <c r="G169" i="11"/>
  <c r="F142" i="11"/>
  <c r="Q111" i="11"/>
  <c r="Q109" i="11"/>
  <c r="Q107" i="11"/>
  <c r="Q58" i="11"/>
  <c r="Q56" i="11"/>
  <c r="M26" i="11"/>
  <c r="K26" i="75" s="1"/>
  <c r="M218" i="11"/>
  <c r="M216" i="11"/>
  <c r="F150" i="11"/>
  <c r="F146" i="11"/>
  <c r="F144" i="11"/>
  <c r="F22" i="11"/>
  <c r="E181" i="11"/>
  <c r="E193" i="11"/>
  <c r="E126" i="11"/>
  <c r="E118" i="11"/>
  <c r="E113" i="11"/>
  <c r="E103" i="11" s="1"/>
  <c r="E77" i="11"/>
  <c r="E62" i="11"/>
  <c r="E52" i="11" s="1"/>
  <c r="E12" i="11"/>
  <c r="I26" i="11"/>
  <c r="G26" i="75" s="1"/>
  <c r="L24" i="11"/>
  <c r="M251" i="11"/>
  <c r="I226" i="11"/>
  <c r="Q478" i="11"/>
  <c r="S474" i="11" s="1"/>
  <c r="S476" i="11" s="1"/>
  <c r="S463" i="11" s="1"/>
  <c r="M174" i="11"/>
  <c r="N174" i="11" s="1"/>
  <c r="N111" i="11"/>
  <c r="N109" i="11"/>
  <c r="N107" i="11"/>
  <c r="L181" i="11"/>
  <c r="M181" i="11" s="1"/>
  <c r="K181" i="11"/>
  <c r="L193" i="11"/>
  <c r="K193" i="11"/>
  <c r="H193" i="11"/>
  <c r="G193" i="11"/>
  <c r="D193" i="11"/>
  <c r="L126" i="11"/>
  <c r="L118" i="11"/>
  <c r="K126" i="11"/>
  <c r="K118" i="11" s="1"/>
  <c r="H126" i="11"/>
  <c r="H118" i="11"/>
  <c r="G126" i="11"/>
  <c r="G118" i="11"/>
  <c r="D126" i="11"/>
  <c r="L113" i="11"/>
  <c r="L103" i="11" s="1"/>
  <c r="K113" i="11"/>
  <c r="K103" i="11" s="1"/>
  <c r="H113" i="11"/>
  <c r="H103" i="11" s="1"/>
  <c r="G113" i="11"/>
  <c r="D113" i="11"/>
  <c r="L62" i="11"/>
  <c r="L52" i="11" s="1"/>
  <c r="M52" i="11" s="1"/>
  <c r="Q52" i="11" s="1"/>
  <c r="K62" i="11"/>
  <c r="K52" i="11"/>
  <c r="H62" i="11"/>
  <c r="H52" i="11"/>
  <c r="G62" i="11"/>
  <c r="G52" i="11"/>
  <c r="I52" i="11" s="1"/>
  <c r="D62" i="11"/>
  <c r="H77" i="11"/>
  <c r="H67" i="11" s="1"/>
  <c r="G77" i="11"/>
  <c r="K54" i="11"/>
  <c r="M54" i="11" s="1"/>
  <c r="H54" i="11"/>
  <c r="G54" i="11"/>
  <c r="D54" i="11"/>
  <c r="F54" i="11" s="1"/>
  <c r="L45" i="11"/>
  <c r="K45" i="11"/>
  <c r="K12" i="11"/>
  <c r="K30" i="11" s="1"/>
  <c r="D105" i="11"/>
  <c r="D69" i="11"/>
  <c r="F69" i="11" s="1"/>
  <c r="H45" i="11"/>
  <c r="G45" i="11"/>
  <c r="G35" i="11" s="1"/>
  <c r="D45" i="11"/>
  <c r="F45" i="11" s="1"/>
  <c r="D37" i="11"/>
  <c r="F37" i="11" s="1"/>
  <c r="G24" i="11"/>
  <c r="H28" i="11"/>
  <c r="G28" i="11"/>
  <c r="D28" i="11"/>
  <c r="H183" i="11"/>
  <c r="H181" i="11" s="1"/>
  <c r="G183" i="11"/>
  <c r="G181" i="11" s="1"/>
  <c r="D183" i="11"/>
  <c r="D181" i="11" s="1"/>
  <c r="H154" i="11"/>
  <c r="G154" i="11"/>
  <c r="H160" i="11"/>
  <c r="G160" i="11"/>
  <c r="I160" i="11" s="1"/>
  <c r="D154" i="11"/>
  <c r="D131" i="11" s="1"/>
  <c r="D160" i="11"/>
  <c r="F148" i="11"/>
  <c r="K35" i="11"/>
  <c r="H253" i="11"/>
  <c r="H247" i="11" s="1"/>
  <c r="G253" i="11"/>
  <c r="G247" i="11" s="1"/>
  <c r="H230" i="11"/>
  <c r="H228" i="11"/>
  <c r="H222" i="11" s="1"/>
  <c r="G228" i="11"/>
  <c r="H220" i="11"/>
  <c r="G220" i="11"/>
  <c r="D253" i="11"/>
  <c r="F253" i="11" s="1"/>
  <c r="D220" i="11"/>
  <c r="D208" i="11"/>
  <c r="F208" i="11" s="1"/>
  <c r="D228" i="11"/>
  <c r="C14" i="2"/>
  <c r="E238" i="11"/>
  <c r="E230" i="11" s="1"/>
  <c r="J107" i="11"/>
  <c r="J58" i="11"/>
  <c r="O58" i="11"/>
  <c r="N56" i="11"/>
  <c r="O56" i="11"/>
  <c r="L230" i="11"/>
  <c r="K230" i="11"/>
  <c r="G230" i="11"/>
  <c r="Q69" i="11"/>
  <c r="E30" i="11"/>
  <c r="M158" i="11"/>
  <c r="K158" i="75" s="1"/>
  <c r="M158" i="75" s="1"/>
  <c r="K158" i="78" s="1"/>
  <c r="M158" i="78" s="1"/>
  <c r="I158" i="11"/>
  <c r="Q158" i="11" s="1"/>
  <c r="F158" i="11"/>
  <c r="O158" i="11" s="1"/>
  <c r="M124" i="11"/>
  <c r="I124" i="11"/>
  <c r="G124" i="75" s="1"/>
  <c r="I124" i="75" s="1"/>
  <c r="M120" i="11"/>
  <c r="I120" i="11"/>
  <c r="G120" i="75" s="1"/>
  <c r="M191" i="11"/>
  <c r="Q191" i="11" s="1"/>
  <c r="I191" i="11"/>
  <c r="G190" i="75" s="1"/>
  <c r="I190" i="75" s="1"/>
  <c r="F191" i="11"/>
  <c r="M189" i="11"/>
  <c r="K188" i="75" s="1"/>
  <c r="M188" i="75" s="1"/>
  <c r="K188" i="78" s="1"/>
  <c r="M188" i="78" s="1"/>
  <c r="I189" i="11"/>
  <c r="Q189" i="11" s="1"/>
  <c r="F189" i="11"/>
  <c r="M187" i="11"/>
  <c r="I187" i="11"/>
  <c r="G186" i="75" s="1"/>
  <c r="I186" i="75" s="1"/>
  <c r="F187" i="11"/>
  <c r="O187" i="11" s="1"/>
  <c r="N158" i="11"/>
  <c r="N124" i="11"/>
  <c r="M146" i="11"/>
  <c r="K146" i="75" s="1"/>
  <c r="M146" i="75" s="1"/>
  <c r="K146" i="78" s="1"/>
  <c r="M146" i="78" s="1"/>
  <c r="I146" i="11"/>
  <c r="M148" i="11"/>
  <c r="N148" i="11" s="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D280" i="11"/>
  <c r="G280" i="11"/>
  <c r="H280" i="11"/>
  <c r="K280" i="11"/>
  <c r="L280" i="11"/>
  <c r="Q281" i="11"/>
  <c r="I282" i="11"/>
  <c r="J282" i="11" s="1"/>
  <c r="M282" i="11"/>
  <c r="N282" i="11" s="1"/>
  <c r="Q283" i="11"/>
  <c r="I284" i="11"/>
  <c r="M284" i="11"/>
  <c r="I285" i="11"/>
  <c r="M285" i="11"/>
  <c r="Q286" i="11"/>
  <c r="I287" i="11"/>
  <c r="J287" i="11"/>
  <c r="M287" i="11"/>
  <c r="Q288" i="11"/>
  <c r="I289" i="11"/>
  <c r="J289" i="11" s="1"/>
  <c r="O289" i="11"/>
  <c r="M289" i="11"/>
  <c r="Q289" i="11" s="1"/>
  <c r="Q290" i="11"/>
  <c r="I291" i="11"/>
  <c r="M291" i="11"/>
  <c r="Q292" i="11"/>
  <c r="D293" i="11"/>
  <c r="G293" i="11"/>
  <c r="I293" i="11" s="1"/>
  <c r="H293" i="11"/>
  <c r="K293" i="11"/>
  <c r="M293" i="11" s="1"/>
  <c r="N293" i="11" s="1"/>
  <c r="L293" i="11"/>
  <c r="Q294" i="11"/>
  <c r="Q295" i="11"/>
  <c r="D296" i="11"/>
  <c r="G296" i="11"/>
  <c r="H296" i="11"/>
  <c r="K296" i="11"/>
  <c r="L296" i="11"/>
  <c r="Q297" i="11"/>
  <c r="Q298" i="11"/>
  <c r="I299" i="11"/>
  <c r="J299" i="11"/>
  <c r="M299" i="11"/>
  <c r="Q299" i="11" s="1"/>
  <c r="N299" i="11"/>
  <c r="Q300" i="11"/>
  <c r="D301" i="11"/>
  <c r="O301" i="11" s="1"/>
  <c r="G301" i="11"/>
  <c r="H301" i="11"/>
  <c r="K301" i="11"/>
  <c r="L301" i="11"/>
  <c r="Q302" i="11"/>
  <c r="Q303" i="11"/>
  <c r="M232" i="11"/>
  <c r="I232" i="11"/>
  <c r="O299" i="11"/>
  <c r="I296" i="11"/>
  <c r="O296" i="11" s="1"/>
  <c r="M296" i="11"/>
  <c r="N296" i="11" s="1"/>
  <c r="M301" i="11"/>
  <c r="O287" i="11"/>
  <c r="I301" i="11"/>
  <c r="Q287" i="11"/>
  <c r="Q285" i="11"/>
  <c r="N287" i="11"/>
  <c r="M89" i="11"/>
  <c r="I89" i="11"/>
  <c r="F89" i="11"/>
  <c r="M210" i="11"/>
  <c r="Q210" i="11" s="1"/>
  <c r="M238" i="11"/>
  <c r="M233" i="75" s="1"/>
  <c r="K233" i="78" s="1"/>
  <c r="M233" i="78" s="1"/>
  <c r="Q463" i="11"/>
  <c r="Q461" i="11"/>
  <c r="Q460" i="11"/>
  <c r="L459" i="11"/>
  <c r="K459" i="11"/>
  <c r="H459" i="11"/>
  <c r="G459" i="11"/>
  <c r="D459" i="11"/>
  <c r="Q458" i="11"/>
  <c r="M457" i="11"/>
  <c r="N457" i="11" s="1"/>
  <c r="I457" i="11"/>
  <c r="O457" i="11" s="1"/>
  <c r="Q456" i="11"/>
  <c r="M455" i="11"/>
  <c r="N455" i="11" s="1"/>
  <c r="I455" i="11"/>
  <c r="O455" i="11" s="1"/>
  <c r="Q454" i="11"/>
  <c r="L453" i="11"/>
  <c r="K453" i="11"/>
  <c r="H453" i="11"/>
  <c r="G453" i="11"/>
  <c r="D453" i="11"/>
  <c r="Q452" i="11"/>
  <c r="L451" i="11"/>
  <c r="K451" i="11"/>
  <c r="H451" i="11"/>
  <c r="G451" i="11"/>
  <c r="D451" i="11"/>
  <c r="Q450" i="11"/>
  <c r="M449" i="11"/>
  <c r="N449" i="11" s="1"/>
  <c r="I449" i="11"/>
  <c r="J449" i="11" s="1"/>
  <c r="Q448" i="11"/>
  <c r="M447" i="11"/>
  <c r="I447" i="11"/>
  <c r="J447" i="11" s="1"/>
  <c r="Q446" i="11"/>
  <c r="L445" i="11"/>
  <c r="K445" i="11"/>
  <c r="H445" i="11"/>
  <c r="G445" i="11"/>
  <c r="I445" i="11" s="1"/>
  <c r="D445" i="11"/>
  <c r="Q444" i="11"/>
  <c r="Q443" i="11"/>
  <c r="Q442" i="11"/>
  <c r="Q441" i="11"/>
  <c r="Q440" i="11"/>
  <c r="Q439" i="11"/>
  <c r="Q438" i="11"/>
  <c r="Q437" i="11"/>
  <c r="Q436" i="11"/>
  <c r="Q435" i="11"/>
  <c r="Q434" i="11"/>
  <c r="Q433" i="11"/>
  <c r="Q432" i="11"/>
  <c r="Q431" i="11"/>
  <c r="Q430" i="11"/>
  <c r="Q429" i="11"/>
  <c r="Q428" i="11"/>
  <c r="Q427" i="11"/>
  <c r="Q426" i="11"/>
  <c r="Q425" i="11"/>
  <c r="Q424" i="11"/>
  <c r="Q423" i="11"/>
  <c r="Q422" i="11"/>
  <c r="Q421" i="11"/>
  <c r="L420" i="11"/>
  <c r="K420" i="11"/>
  <c r="H420" i="11"/>
  <c r="G420" i="11"/>
  <c r="D420" i="11"/>
  <c r="Q419" i="11"/>
  <c r="M418" i="11"/>
  <c r="N418" i="11" s="1"/>
  <c r="I418" i="11"/>
  <c r="J418" i="11" s="1"/>
  <c r="Q417" i="11"/>
  <c r="Q416" i="11"/>
  <c r="L415" i="11"/>
  <c r="M415" i="11" s="1"/>
  <c r="K415" i="11"/>
  <c r="H415" i="11"/>
  <c r="G415" i="11"/>
  <c r="D415" i="11"/>
  <c r="Q414" i="11"/>
  <c r="Q413" i="11"/>
  <c r="L412" i="11"/>
  <c r="K412" i="11"/>
  <c r="M412" i="11" s="1"/>
  <c r="N412" i="11" s="1"/>
  <c r="H412" i="11"/>
  <c r="I412" i="11" s="1"/>
  <c r="O412" i="11" s="1"/>
  <c r="G412" i="11"/>
  <c r="D412" i="11"/>
  <c r="Q411" i="11"/>
  <c r="M410" i="11"/>
  <c r="I410" i="11"/>
  <c r="Q409" i="11"/>
  <c r="M408" i="11"/>
  <c r="N408" i="11" s="1"/>
  <c r="I408" i="11"/>
  <c r="J408" i="11" s="1"/>
  <c r="Q407" i="11"/>
  <c r="M406" i="11"/>
  <c r="N406" i="11" s="1"/>
  <c r="I406" i="11"/>
  <c r="O406" i="11" s="1"/>
  <c r="Q405" i="11"/>
  <c r="M404" i="11"/>
  <c r="I404" i="11"/>
  <c r="Q403" i="11"/>
  <c r="M402" i="11"/>
  <c r="N402" i="11" s="1"/>
  <c r="I402" i="11"/>
  <c r="Q401" i="11"/>
  <c r="M400" i="11"/>
  <c r="N400" i="11"/>
  <c r="I400" i="11"/>
  <c r="Q399" i="11"/>
  <c r="Q398" i="11"/>
  <c r="M397" i="11"/>
  <c r="N397" i="11" s="1"/>
  <c r="I397" i="11"/>
  <c r="Q396" i="11"/>
  <c r="M395" i="11"/>
  <c r="I395" i="11"/>
  <c r="O395" i="11" s="1"/>
  <c r="Q394" i="11"/>
  <c r="M393" i="11"/>
  <c r="N393" i="11" s="1"/>
  <c r="I393" i="11"/>
  <c r="J393" i="11" s="1"/>
  <c r="Q392" i="11"/>
  <c r="L391" i="11"/>
  <c r="K391" i="11"/>
  <c r="H391" i="11"/>
  <c r="G391" i="11"/>
  <c r="I391" i="11" s="1"/>
  <c r="J391" i="11" s="1"/>
  <c r="D391" i="11"/>
  <c r="Q390" i="11"/>
  <c r="Q389" i="11"/>
  <c r="Q388" i="11"/>
  <c r="Q387" i="11"/>
  <c r="Q386" i="11"/>
  <c r="Q385" i="11"/>
  <c r="Q384" i="11"/>
  <c r="Q383" i="11"/>
  <c r="Q382" i="11"/>
  <c r="Q381" i="11"/>
  <c r="Q380" i="11"/>
  <c r="Q379" i="11"/>
  <c r="Q378" i="11"/>
  <c r="Q377" i="11"/>
  <c r="Q376" i="11"/>
  <c r="Q375" i="11"/>
  <c r="Q374" i="11"/>
  <c r="Q373" i="11"/>
  <c r="Q372" i="11"/>
  <c r="Q371" i="11"/>
  <c r="Q370" i="11"/>
  <c r="Q369" i="11"/>
  <c r="Q368" i="11"/>
  <c r="Q367" i="11"/>
  <c r="Q366" i="11"/>
  <c r="Q365" i="11"/>
  <c r="Q364" i="11"/>
  <c r="Q363" i="11"/>
  <c r="Q362" i="11"/>
  <c r="Q361" i="11"/>
  <c r="Q360" i="11"/>
  <c r="Q359" i="11"/>
  <c r="Q358" i="11"/>
  <c r="Q356" i="11"/>
  <c r="Q355" i="11"/>
  <c r="L354" i="11"/>
  <c r="K354" i="11"/>
  <c r="H354" i="11"/>
  <c r="G354" i="11"/>
  <c r="D354" i="11"/>
  <c r="Q353" i="11"/>
  <c r="M352" i="11"/>
  <c r="I352" i="11"/>
  <c r="J352" i="11" s="1"/>
  <c r="Q351" i="11"/>
  <c r="Q350" i="11"/>
  <c r="L349" i="11"/>
  <c r="K349" i="11"/>
  <c r="H349" i="11"/>
  <c r="G349" i="11"/>
  <c r="D349" i="11"/>
  <c r="Q348" i="11"/>
  <c r="Q347" i="11"/>
  <c r="L346" i="11"/>
  <c r="K346" i="11"/>
  <c r="H346" i="11"/>
  <c r="I346" i="11" s="1"/>
  <c r="O346" i="11" s="1"/>
  <c r="G346" i="11"/>
  <c r="D346" i="11"/>
  <c r="D357" i="11" s="1"/>
  <c r="Q345" i="11"/>
  <c r="M344" i="11"/>
  <c r="Q344" i="11" s="1"/>
  <c r="I344" i="11"/>
  <c r="O344" i="11" s="1"/>
  <c r="Q343" i="11"/>
  <c r="M342" i="11"/>
  <c r="I342" i="11"/>
  <c r="O342" i="11" s="1"/>
  <c r="Q341" i="11"/>
  <c r="M340" i="11"/>
  <c r="N340" i="11" s="1"/>
  <c r="I340" i="11"/>
  <c r="J340" i="11" s="1"/>
  <c r="Q339" i="11"/>
  <c r="Q338" i="11"/>
  <c r="M337" i="11"/>
  <c r="N337" i="11"/>
  <c r="I337" i="11"/>
  <c r="J337" i="11" s="1"/>
  <c r="Q336" i="11"/>
  <c r="Q335" i="11"/>
  <c r="L334" i="11"/>
  <c r="K334" i="11"/>
  <c r="H334" i="11"/>
  <c r="G334" i="11"/>
  <c r="D334" i="11"/>
  <c r="Q333" i="11"/>
  <c r="Q332" i="11"/>
  <c r="Q331" i="11"/>
  <c r="Q330" i="11"/>
  <c r="Q329" i="11"/>
  <c r="Q328" i="11"/>
  <c r="Q327" i="11"/>
  <c r="Q326" i="11"/>
  <c r="Q325" i="11"/>
  <c r="Q324" i="11"/>
  <c r="Q323" i="11"/>
  <c r="Q322" i="11"/>
  <c r="Q321" i="11"/>
  <c r="Q320" i="11"/>
  <c r="Q319" i="11"/>
  <c r="Q318" i="11"/>
  <c r="Q317" i="11"/>
  <c r="Q316" i="11"/>
  <c r="Q315" i="11"/>
  <c r="Q314" i="11"/>
  <c r="Q313" i="11"/>
  <c r="Q312" i="11"/>
  <c r="Q311" i="11"/>
  <c r="Q310" i="11"/>
  <c r="Q309" i="11"/>
  <c r="Q308" i="11"/>
  <c r="Q307" i="11"/>
  <c r="Q306" i="11"/>
  <c r="Q305" i="11"/>
  <c r="Q304" i="11"/>
  <c r="Q265" i="11"/>
  <c r="Q264" i="11"/>
  <c r="Q263" i="11"/>
  <c r="Q262" i="11"/>
  <c r="Q261" i="11"/>
  <c r="Q260" i="11"/>
  <c r="Q259" i="11"/>
  <c r="Q258" i="11"/>
  <c r="Q257" i="11"/>
  <c r="M249" i="11"/>
  <c r="M253" i="11" s="1"/>
  <c r="I249" i="11"/>
  <c r="G247" i="75" s="1"/>
  <c r="J249" i="11"/>
  <c r="L228" i="11"/>
  <c r="L222" i="11" s="1"/>
  <c r="K228" i="11"/>
  <c r="E228" i="11"/>
  <c r="E256" i="11" s="1"/>
  <c r="E222" i="11"/>
  <c r="D222" i="11"/>
  <c r="M224" i="11"/>
  <c r="K223" i="75" s="1"/>
  <c r="I224" i="11"/>
  <c r="G223" i="75" s="1"/>
  <c r="F228" i="11"/>
  <c r="M214" i="11"/>
  <c r="I214" i="11"/>
  <c r="G213" i="75" s="1"/>
  <c r="I213" i="75" s="1"/>
  <c r="G213" i="78" s="1"/>
  <c r="I213" i="78" s="1"/>
  <c r="M212" i="11"/>
  <c r="I212" i="11"/>
  <c r="Q194" i="11"/>
  <c r="M185" i="11"/>
  <c r="K184" i="75" s="1"/>
  <c r="I185" i="11"/>
  <c r="F185" i="11"/>
  <c r="M183" i="11"/>
  <c r="F183" i="11"/>
  <c r="Q177" i="11"/>
  <c r="M156" i="11"/>
  <c r="I156" i="11"/>
  <c r="G156" i="75" s="1"/>
  <c r="F156" i="11"/>
  <c r="M154" i="11"/>
  <c r="M150" i="11"/>
  <c r="N150" i="11" s="1"/>
  <c r="I150" i="11"/>
  <c r="G150" i="75" s="1"/>
  <c r="M144" i="11"/>
  <c r="K144" i="75" s="1"/>
  <c r="M144" i="75" s="1"/>
  <c r="K144" i="78" s="1"/>
  <c r="M144" i="78" s="1"/>
  <c r="I144" i="11"/>
  <c r="G144" i="75" s="1"/>
  <c r="I144" i="75" s="1"/>
  <c r="J144" i="75" s="1"/>
  <c r="Q127" i="11"/>
  <c r="M122" i="11"/>
  <c r="K122" i="75" s="1"/>
  <c r="M122" i="75" s="1"/>
  <c r="K122" i="78" s="1"/>
  <c r="M122" i="78" s="1"/>
  <c r="I122" i="11"/>
  <c r="Q116" i="11"/>
  <c r="Q114" i="11"/>
  <c r="M105" i="11"/>
  <c r="I105" i="11"/>
  <c r="G105" i="75" s="1"/>
  <c r="I105" i="75" s="1"/>
  <c r="Q101" i="11"/>
  <c r="Q99" i="11"/>
  <c r="M85" i="11"/>
  <c r="K85" i="75" s="1"/>
  <c r="I85" i="11"/>
  <c r="Q78" i="11"/>
  <c r="Q63" i="11"/>
  <c r="M60" i="11"/>
  <c r="K60" i="75" s="1"/>
  <c r="M60" i="75" s="1"/>
  <c r="K60" i="78" s="1"/>
  <c r="I60" i="11"/>
  <c r="Q51" i="11"/>
  <c r="Q48" i="11"/>
  <c r="E47" i="11"/>
  <c r="M43" i="11"/>
  <c r="K43" i="75" s="1"/>
  <c r="M43" i="75" s="1"/>
  <c r="K43" i="78" s="1"/>
  <c r="M43" i="78" s="1"/>
  <c r="I43" i="11"/>
  <c r="M41" i="11"/>
  <c r="O41" i="11" s="1"/>
  <c r="I41" i="11"/>
  <c r="G41" i="75" s="1"/>
  <c r="I41" i="75" s="1"/>
  <c r="G41" i="78" s="1"/>
  <c r="I41" i="78" s="1"/>
  <c r="M39" i="11"/>
  <c r="K39" i="75" s="1"/>
  <c r="I39" i="11"/>
  <c r="G39" i="75" s="1"/>
  <c r="M37" i="11"/>
  <c r="I37" i="11"/>
  <c r="E35" i="11"/>
  <c r="Q31" i="11"/>
  <c r="M20" i="11"/>
  <c r="I20" i="11"/>
  <c r="M16" i="11"/>
  <c r="K16" i="75" s="1"/>
  <c r="I16" i="11"/>
  <c r="J16" i="11" s="1"/>
  <c r="F247" i="11"/>
  <c r="M126" i="11"/>
  <c r="M113" i="11"/>
  <c r="H15" i="2" s="1"/>
  <c r="E9" i="71" s="1"/>
  <c r="M451" i="11"/>
  <c r="J395" i="11"/>
  <c r="I334" i="11"/>
  <c r="O334" i="11" s="1"/>
  <c r="Q150" i="11"/>
  <c r="J344" i="11"/>
  <c r="J404" i="11"/>
  <c r="Q408" i="11"/>
  <c r="Q393" i="11"/>
  <c r="N395" i="11"/>
  <c r="G222" i="11"/>
  <c r="M334" i="11"/>
  <c r="N334" i="11" s="1"/>
  <c r="N404" i="11"/>
  <c r="N410" i="11"/>
  <c r="O418" i="11"/>
  <c r="J397" i="11"/>
  <c r="O397" i="11"/>
  <c r="O408" i="11"/>
  <c r="J342" i="11"/>
  <c r="Q400" i="11"/>
  <c r="J455" i="11"/>
  <c r="N352" i="11"/>
  <c r="Q39" i="11"/>
  <c r="K222" i="11"/>
  <c r="N122" i="11"/>
  <c r="Q144" i="11"/>
  <c r="N447" i="11"/>
  <c r="J400" i="11"/>
  <c r="O400" i="11"/>
  <c r="O449" i="11"/>
  <c r="H17" i="2"/>
  <c r="I126" i="11"/>
  <c r="F17" i="2" s="1"/>
  <c r="D10" i="71" s="1"/>
  <c r="M62" i="11"/>
  <c r="I62" i="11"/>
  <c r="N415" i="11"/>
  <c r="H10" i="2"/>
  <c r="E5" i="71" s="1"/>
  <c r="D17" i="2"/>
  <c r="D16" i="2" s="1"/>
  <c r="D12" i="2"/>
  <c r="D8" i="2"/>
  <c r="I206" i="11"/>
  <c r="J206" i="11" s="1"/>
  <c r="N289" i="11" l="1"/>
  <c r="M206" i="11"/>
  <c r="D103" i="11"/>
  <c r="F103" i="11" s="1"/>
  <c r="C15" i="100"/>
  <c r="E15" i="100" s="1"/>
  <c r="C15" i="97"/>
  <c r="E15" i="97" s="1"/>
  <c r="C15" i="91"/>
  <c r="E15" i="91" s="1"/>
  <c r="C15" i="88"/>
  <c r="E15" i="88" s="1"/>
  <c r="C15" i="85"/>
  <c r="E15" i="85" s="1"/>
  <c r="C15" i="82"/>
  <c r="E15" i="82" s="1"/>
  <c r="C15" i="79"/>
  <c r="E15" i="79" s="1"/>
  <c r="Q156" i="11"/>
  <c r="M83" i="11"/>
  <c r="O337" i="11"/>
  <c r="C18" i="100"/>
  <c r="E18" i="100" s="1"/>
  <c r="C18" i="97"/>
  <c r="E18" i="97" s="1"/>
  <c r="C18" i="91"/>
  <c r="E18" i="91" s="1"/>
  <c r="C18" i="88"/>
  <c r="E18" i="88" s="1"/>
  <c r="C18" i="85"/>
  <c r="E18" i="85" s="1"/>
  <c r="C18" i="82"/>
  <c r="E18" i="82" s="1"/>
  <c r="C18" i="79"/>
  <c r="E18" i="79" s="1"/>
  <c r="D30" i="11"/>
  <c r="N43" i="11"/>
  <c r="C10" i="76"/>
  <c r="E10" i="76" s="1"/>
  <c r="C10" i="100"/>
  <c r="E10" i="100" s="1"/>
  <c r="C10" i="97"/>
  <c r="E10" i="97" s="1"/>
  <c r="C10" i="91"/>
  <c r="E10" i="91" s="1"/>
  <c r="C10" i="88"/>
  <c r="E10" i="88" s="1"/>
  <c r="C10" i="85"/>
  <c r="E10" i="85" s="1"/>
  <c r="C10" i="82"/>
  <c r="E10" i="82" s="1"/>
  <c r="C10" i="79"/>
  <c r="E10" i="79" s="1"/>
  <c r="G176" i="11"/>
  <c r="D21" i="2"/>
  <c r="I420" i="11"/>
  <c r="M459" i="11"/>
  <c r="N459" i="11" s="1"/>
  <c r="Q124" i="11"/>
  <c r="I193" i="11"/>
  <c r="F18" i="2" s="1"/>
  <c r="I139" i="11"/>
  <c r="H176" i="11"/>
  <c r="K82" i="11"/>
  <c r="C17" i="100"/>
  <c r="C17" i="97"/>
  <c r="C17" i="91"/>
  <c r="C17" i="88"/>
  <c r="C17" i="85"/>
  <c r="C17" i="82"/>
  <c r="C17" i="79"/>
  <c r="K176" i="11"/>
  <c r="J58" i="87"/>
  <c r="G58" i="90"/>
  <c r="I58" i="90" s="1"/>
  <c r="I415" i="11"/>
  <c r="M420" i="11"/>
  <c r="M193" i="11"/>
  <c r="M139" i="11"/>
  <c r="N139" i="11" s="1"/>
  <c r="L176" i="11"/>
  <c r="E131" i="11"/>
  <c r="O352" i="11"/>
  <c r="G357" i="11"/>
  <c r="D176" i="11"/>
  <c r="I200" i="11"/>
  <c r="Q126" i="11"/>
  <c r="J445" i="11"/>
  <c r="J301" i="11"/>
  <c r="G47" i="11"/>
  <c r="G98" i="11"/>
  <c r="G131" i="11"/>
  <c r="N189" i="11"/>
  <c r="K225" i="87"/>
  <c r="M225" i="87" s="1"/>
  <c r="N225" i="84"/>
  <c r="O225" i="84"/>
  <c r="K58" i="96"/>
  <c r="M58" i="96" s="1"/>
  <c r="N58" i="90"/>
  <c r="O58" i="90"/>
  <c r="Q58" i="90"/>
  <c r="Q337" i="11"/>
  <c r="O43" i="11"/>
  <c r="C8" i="101"/>
  <c r="C8" i="98"/>
  <c r="C8" i="92"/>
  <c r="C8" i="89"/>
  <c r="C8" i="86"/>
  <c r="C14" i="76"/>
  <c r="E14" i="76" s="1"/>
  <c r="C14" i="100"/>
  <c r="C14" i="97"/>
  <c r="C14" i="91"/>
  <c r="C14" i="88"/>
  <c r="C14" i="85"/>
  <c r="C14" i="82"/>
  <c r="C14" i="79"/>
  <c r="H131" i="11"/>
  <c r="M140" i="11"/>
  <c r="O16" i="11"/>
  <c r="M445" i="11"/>
  <c r="I54" i="11"/>
  <c r="Q54" i="11" s="1"/>
  <c r="Q135" i="11"/>
  <c r="I148" i="11"/>
  <c r="K131" i="11"/>
  <c r="J216" i="11"/>
  <c r="K87" i="96"/>
  <c r="M87" i="96" s="1"/>
  <c r="Q87" i="90"/>
  <c r="O87" i="90"/>
  <c r="N87" i="90"/>
  <c r="J56" i="81"/>
  <c r="G56" i="84"/>
  <c r="M56" i="84"/>
  <c r="K56" i="87" s="1"/>
  <c r="C8" i="77"/>
  <c r="C8" i="83"/>
  <c r="C8" i="80"/>
  <c r="J105" i="75"/>
  <c r="G105" i="78"/>
  <c r="I105" i="78" s="1"/>
  <c r="I105" i="84" s="1"/>
  <c r="J213" i="78"/>
  <c r="G213" i="81"/>
  <c r="I213" i="81" s="1"/>
  <c r="K233" i="81"/>
  <c r="M233" i="81" s="1"/>
  <c r="K233" i="84" s="1"/>
  <c r="M233" i="84" s="1"/>
  <c r="O233" i="78"/>
  <c r="N233" i="78"/>
  <c r="N146" i="78"/>
  <c r="O146" i="78"/>
  <c r="Q146" i="78"/>
  <c r="K146" i="81"/>
  <c r="M146" i="81" s="1"/>
  <c r="K146" i="84" s="1"/>
  <c r="M146" i="84" s="1"/>
  <c r="J186" i="75"/>
  <c r="G186" i="78"/>
  <c r="I186" i="78" s="1"/>
  <c r="K188" i="81"/>
  <c r="M188" i="81" s="1"/>
  <c r="K188" i="84" s="1"/>
  <c r="M188" i="84" s="1"/>
  <c r="O188" i="78"/>
  <c r="N188" i="78"/>
  <c r="J249" i="75"/>
  <c r="G249" i="78"/>
  <c r="I249" i="78" s="1"/>
  <c r="J75" i="75"/>
  <c r="G75" i="78"/>
  <c r="I75" i="78" s="1"/>
  <c r="N225" i="81"/>
  <c r="O225" i="81"/>
  <c r="J215" i="75"/>
  <c r="G215" i="78"/>
  <c r="I215" i="78" s="1"/>
  <c r="Q56" i="81"/>
  <c r="O56" i="81"/>
  <c r="N56" i="81"/>
  <c r="K43" i="81"/>
  <c r="M43" i="81" s="1"/>
  <c r="K43" i="84" s="1"/>
  <c r="M43" i="84" s="1"/>
  <c r="N43" i="78"/>
  <c r="O43" i="78"/>
  <c r="N144" i="78"/>
  <c r="K144" i="81"/>
  <c r="M144" i="81" s="1"/>
  <c r="K144" i="84" s="1"/>
  <c r="M144" i="84" s="1"/>
  <c r="Q144" i="78"/>
  <c r="O144" i="78"/>
  <c r="J190" i="75"/>
  <c r="G190" i="78"/>
  <c r="I190" i="78" s="1"/>
  <c r="J124" i="75"/>
  <c r="G124" i="78"/>
  <c r="I124" i="78" s="1"/>
  <c r="K158" i="81"/>
  <c r="M158" i="81" s="1"/>
  <c r="K158" i="84" s="1"/>
  <c r="M158" i="84" s="1"/>
  <c r="N158" i="78"/>
  <c r="O158" i="78"/>
  <c r="J217" i="75"/>
  <c r="G217" i="78"/>
  <c r="I217" i="78" s="1"/>
  <c r="N73" i="78"/>
  <c r="O73" i="78"/>
  <c r="K73" i="81"/>
  <c r="M73" i="81" s="1"/>
  <c r="K73" i="84" s="1"/>
  <c r="M73" i="84" s="1"/>
  <c r="G41" i="81"/>
  <c r="I41" i="81" s="1"/>
  <c r="J41" i="78"/>
  <c r="M60" i="78"/>
  <c r="K54" i="78"/>
  <c r="M54" i="78" s="1"/>
  <c r="K62" i="78"/>
  <c r="K122" i="81"/>
  <c r="M122" i="81" s="1"/>
  <c r="K122" i="84" s="1"/>
  <c r="M122" i="84" s="1"/>
  <c r="O122" i="78"/>
  <c r="N122" i="78"/>
  <c r="N203" i="78"/>
  <c r="O203" i="78"/>
  <c r="K203" i="81"/>
  <c r="M203" i="81" s="1"/>
  <c r="K203" i="84" s="1"/>
  <c r="M203" i="84" s="1"/>
  <c r="O75" i="78"/>
  <c r="Q75" i="78"/>
  <c r="N75" i="78"/>
  <c r="K75" i="81"/>
  <c r="M75" i="81" s="1"/>
  <c r="K75" i="84" s="1"/>
  <c r="M75" i="84" s="1"/>
  <c r="I181" i="11"/>
  <c r="J420" i="11"/>
  <c r="Q420" i="11"/>
  <c r="I222" i="11"/>
  <c r="F28" i="11"/>
  <c r="K98" i="11"/>
  <c r="O224" i="11"/>
  <c r="Q181" i="11"/>
  <c r="O146" i="11"/>
  <c r="O169" i="11"/>
  <c r="J334" i="11"/>
  <c r="Q455" i="11"/>
  <c r="O340" i="11"/>
  <c r="I45" i="11"/>
  <c r="Q224" i="11"/>
  <c r="Q449" i="11"/>
  <c r="Q418" i="11"/>
  <c r="Q397" i="11"/>
  <c r="Q395" i="11"/>
  <c r="Q37" i="11"/>
  <c r="I183" i="11"/>
  <c r="Q183" i="11" s="1"/>
  <c r="N224" i="11"/>
  <c r="Q342" i="11"/>
  <c r="M349" i="11"/>
  <c r="N349" i="11" s="1"/>
  <c r="Q352" i="11"/>
  <c r="H357" i="11"/>
  <c r="I357" i="11" s="1"/>
  <c r="O393" i="11"/>
  <c r="Q402" i="11"/>
  <c r="I451" i="11"/>
  <c r="O451" i="11" s="1"/>
  <c r="M453" i="11"/>
  <c r="Q453" i="11" s="1"/>
  <c r="I459" i="11"/>
  <c r="I280" i="11"/>
  <c r="J280" i="11" s="1"/>
  <c r="N73" i="11"/>
  <c r="I154" i="11"/>
  <c r="Q154" i="11" s="1"/>
  <c r="M133" i="11"/>
  <c r="M24" i="11"/>
  <c r="N24" i="11" s="1"/>
  <c r="O26" i="11"/>
  <c r="I174" i="11"/>
  <c r="M169" i="11"/>
  <c r="N164" i="11"/>
  <c r="M240" i="11"/>
  <c r="M235" i="75" s="1"/>
  <c r="K235" i="78" s="1"/>
  <c r="M235" i="78" s="1"/>
  <c r="M162" i="11"/>
  <c r="N162" i="11" s="1"/>
  <c r="L12" i="11"/>
  <c r="I24" i="11"/>
  <c r="J24" i="11" s="1"/>
  <c r="I83" i="11"/>
  <c r="M93" i="11"/>
  <c r="I96" i="11"/>
  <c r="N39" i="11"/>
  <c r="J124" i="11"/>
  <c r="N185" i="11"/>
  <c r="J251" i="11"/>
  <c r="O122" i="11"/>
  <c r="O89" i="11"/>
  <c r="O148" i="11"/>
  <c r="M118" i="11"/>
  <c r="N171" i="11"/>
  <c r="J169" i="11"/>
  <c r="G256" i="11"/>
  <c r="Q206" i="11"/>
  <c r="N247" i="11"/>
  <c r="I166" i="11"/>
  <c r="O445" i="11"/>
  <c r="Q340" i="11"/>
  <c r="J457" i="11"/>
  <c r="Q41" i="11"/>
  <c r="N144" i="11"/>
  <c r="N60" i="11"/>
  <c r="O185" i="11"/>
  <c r="F222" i="11"/>
  <c r="I349" i="11"/>
  <c r="O349" i="11" s="1"/>
  <c r="L357" i="11"/>
  <c r="M391" i="11"/>
  <c r="I453" i="11"/>
  <c r="O453" i="11" s="1"/>
  <c r="M280" i="11"/>
  <c r="N146" i="11"/>
  <c r="O189" i="11"/>
  <c r="I247" i="11"/>
  <c r="O24" i="11"/>
  <c r="Q171" i="11"/>
  <c r="Q73" i="11"/>
  <c r="I140" i="11"/>
  <c r="I240" i="11"/>
  <c r="I235" i="75" s="1"/>
  <c r="M244" i="11"/>
  <c r="G12" i="11"/>
  <c r="G30" i="11" s="1"/>
  <c r="I93" i="11"/>
  <c r="O242" i="11"/>
  <c r="M230" i="11"/>
  <c r="I230" i="11"/>
  <c r="G198" i="11"/>
  <c r="N391" i="11"/>
  <c r="Q391" i="11"/>
  <c r="N280" i="11"/>
  <c r="J451" i="11"/>
  <c r="J148" i="11"/>
  <c r="Q148" i="11"/>
  <c r="J453" i="11"/>
  <c r="F10" i="2"/>
  <c r="D5" i="71" s="1"/>
  <c r="Q62" i="11"/>
  <c r="N342" i="11"/>
  <c r="Q451" i="11"/>
  <c r="N451" i="11"/>
  <c r="N16" i="11"/>
  <c r="G43" i="75"/>
  <c r="I43" i="75" s="1"/>
  <c r="Q43" i="75" s="1"/>
  <c r="Q43" i="11"/>
  <c r="J43" i="11"/>
  <c r="G122" i="75"/>
  <c r="I122" i="75" s="1"/>
  <c r="J122" i="11"/>
  <c r="N144" i="75"/>
  <c r="O144" i="75"/>
  <c r="Q144" i="75"/>
  <c r="G211" i="75"/>
  <c r="I211" i="75" s="1"/>
  <c r="J212" i="11"/>
  <c r="O391" i="11"/>
  <c r="K89" i="75"/>
  <c r="M89" i="75" s="1"/>
  <c r="K89" i="78" s="1"/>
  <c r="M89" i="78" s="1"/>
  <c r="Q89" i="11"/>
  <c r="J293" i="11"/>
  <c r="O293" i="11"/>
  <c r="K231" i="75"/>
  <c r="O232" i="11"/>
  <c r="N232" i="11"/>
  <c r="N291" i="11"/>
  <c r="Q291" i="11"/>
  <c r="L35" i="11"/>
  <c r="L47" i="11"/>
  <c r="I118" i="11"/>
  <c r="Q118" i="11" s="1"/>
  <c r="C18" i="2"/>
  <c r="C18" i="76"/>
  <c r="E18" i="76" s="1"/>
  <c r="H18" i="2"/>
  <c r="E11" i="71" s="1"/>
  <c r="Q193" i="11"/>
  <c r="G28" i="75"/>
  <c r="I28" i="75" s="1"/>
  <c r="J28" i="75" s="1"/>
  <c r="G24" i="75"/>
  <c r="I24" i="75" s="1"/>
  <c r="J24" i="75" s="1"/>
  <c r="I26" i="75"/>
  <c r="K215" i="75"/>
  <c r="M215" i="75" s="1"/>
  <c r="K215" i="78" s="1"/>
  <c r="M215" i="78" s="1"/>
  <c r="O216" i="11"/>
  <c r="N216" i="11"/>
  <c r="G95" i="75"/>
  <c r="J95" i="11"/>
  <c r="O137" i="11"/>
  <c r="F133" i="11"/>
  <c r="J137" i="11"/>
  <c r="I147" i="11"/>
  <c r="I133" i="11"/>
  <c r="G203" i="75"/>
  <c r="J204" i="11"/>
  <c r="Q204" i="11"/>
  <c r="K256" i="11"/>
  <c r="Q459" i="11"/>
  <c r="I354" i="11"/>
  <c r="J354" i="11" s="1"/>
  <c r="M354" i="11"/>
  <c r="N253" i="11"/>
  <c r="Q457" i="11"/>
  <c r="N445" i="11"/>
  <c r="Q445" i="11"/>
  <c r="K105" i="75"/>
  <c r="M105" i="75" s="1"/>
  <c r="K105" i="78" s="1"/>
  <c r="M105" i="78" s="1"/>
  <c r="Q105" i="11"/>
  <c r="I156" i="75"/>
  <c r="G156" i="78" s="1"/>
  <c r="J183" i="11"/>
  <c r="O183" i="11"/>
  <c r="G184" i="75"/>
  <c r="Q185" i="11"/>
  <c r="J185" i="11"/>
  <c r="Q212" i="11"/>
  <c r="K211" i="75"/>
  <c r="M211" i="75" s="1"/>
  <c r="K211" i="78" s="1"/>
  <c r="M211" i="78" s="1"/>
  <c r="N212" i="11"/>
  <c r="O212" i="11"/>
  <c r="E198" i="11"/>
  <c r="Q404" i="11"/>
  <c r="O404" i="11"/>
  <c r="Q412" i="11"/>
  <c r="Q415" i="11"/>
  <c r="I238" i="11"/>
  <c r="K209" i="75"/>
  <c r="O210" i="11"/>
  <c r="N210" i="11"/>
  <c r="O282" i="11"/>
  <c r="J296" i="11"/>
  <c r="J291" i="11"/>
  <c r="O291" i="11"/>
  <c r="Q282" i="11"/>
  <c r="K186" i="75"/>
  <c r="M186" i="75" s="1"/>
  <c r="K186" i="78" s="1"/>
  <c r="M186" i="78" s="1"/>
  <c r="N187" i="11"/>
  <c r="Q187" i="11"/>
  <c r="F193" i="11"/>
  <c r="O191" i="11"/>
  <c r="K120" i="75"/>
  <c r="N120" i="11"/>
  <c r="O120" i="11"/>
  <c r="Q120" i="11"/>
  <c r="G158" i="75"/>
  <c r="J158" i="11"/>
  <c r="F154" i="11"/>
  <c r="N105" i="11"/>
  <c r="F105" i="11"/>
  <c r="M103" i="11"/>
  <c r="K217" i="75"/>
  <c r="M217" i="75" s="1"/>
  <c r="K217" i="78" s="1"/>
  <c r="M217" i="78" s="1"/>
  <c r="N218" i="11"/>
  <c r="O218" i="11"/>
  <c r="O171" i="11"/>
  <c r="J171" i="11"/>
  <c r="F174" i="11"/>
  <c r="O174" i="11" s="1"/>
  <c r="O18" i="11"/>
  <c r="K18" i="75"/>
  <c r="M18" i="75" s="1"/>
  <c r="K18" i="78" s="1"/>
  <c r="M18" i="78" s="1"/>
  <c r="O164" i="11"/>
  <c r="F166" i="11"/>
  <c r="O166" i="11" s="1"/>
  <c r="O162" i="11"/>
  <c r="G243" i="75"/>
  <c r="I243" i="75" s="1"/>
  <c r="J243" i="75" s="1"/>
  <c r="I241" i="75"/>
  <c r="G239" i="75"/>
  <c r="I239" i="75" s="1"/>
  <c r="J239" i="75" s="1"/>
  <c r="O83" i="11"/>
  <c r="K20" i="75"/>
  <c r="M20" i="75" s="1"/>
  <c r="K20" i="78" s="1"/>
  <c r="M20" i="78" s="1"/>
  <c r="O20" i="11"/>
  <c r="N20" i="11"/>
  <c r="K150" i="75"/>
  <c r="M150" i="75" s="1"/>
  <c r="K150" i="78" s="1"/>
  <c r="M150" i="78" s="1"/>
  <c r="O150" i="11"/>
  <c r="M346" i="11"/>
  <c r="K357" i="11"/>
  <c r="Q349" i="11"/>
  <c r="O402" i="11"/>
  <c r="J402" i="11"/>
  <c r="O447" i="11"/>
  <c r="Q447" i="11"/>
  <c r="Q301" i="11"/>
  <c r="N301" i="11"/>
  <c r="Q284" i="11"/>
  <c r="N284" i="11"/>
  <c r="F238" i="11"/>
  <c r="D230" i="11"/>
  <c r="C15" i="76"/>
  <c r="E15" i="76" s="1"/>
  <c r="F113" i="11"/>
  <c r="O113" i="11" s="1"/>
  <c r="C15" i="2"/>
  <c r="K249" i="75"/>
  <c r="M249" i="75" s="1"/>
  <c r="K249" i="78" s="1"/>
  <c r="M249" i="78" s="1"/>
  <c r="O251" i="11"/>
  <c r="D82" i="11"/>
  <c r="F82" i="11" s="1"/>
  <c r="F93" i="11"/>
  <c r="O93" i="11" s="1"/>
  <c r="D98" i="11"/>
  <c r="G135" i="75"/>
  <c r="I135" i="75" s="1"/>
  <c r="J135" i="11"/>
  <c r="K137" i="75"/>
  <c r="M137" i="75" s="1"/>
  <c r="K137" i="78" s="1"/>
  <c r="M137" i="78" s="1"/>
  <c r="Q137" i="11"/>
  <c r="N137" i="11"/>
  <c r="K201" i="75"/>
  <c r="O202" i="11"/>
  <c r="N202" i="11"/>
  <c r="O206" i="11"/>
  <c r="K198" i="11"/>
  <c r="M200" i="11"/>
  <c r="Q200" i="11" s="1"/>
  <c r="Q334" i="11"/>
  <c r="O253" i="11"/>
  <c r="J412" i="11"/>
  <c r="J346" i="11"/>
  <c r="Q122" i="11"/>
  <c r="Q406" i="11"/>
  <c r="F91" i="11"/>
  <c r="I39" i="75"/>
  <c r="G45" i="75"/>
  <c r="K41" i="75"/>
  <c r="M41" i="75" s="1"/>
  <c r="K41" i="78" s="1"/>
  <c r="M41" i="78" s="1"/>
  <c r="N41" i="11"/>
  <c r="G60" i="75"/>
  <c r="I60" i="75" s="1"/>
  <c r="G60" i="78" s="1"/>
  <c r="Q60" i="11"/>
  <c r="J85" i="11"/>
  <c r="G85" i="75"/>
  <c r="N214" i="11"/>
  <c r="K213" i="75"/>
  <c r="M213" i="75" s="1"/>
  <c r="K213" i="78" s="1"/>
  <c r="M213" i="78" s="1"/>
  <c r="O214" i="11"/>
  <c r="N249" i="11"/>
  <c r="K247" i="75"/>
  <c r="O249" i="11"/>
  <c r="Q249" i="11"/>
  <c r="O410" i="11"/>
  <c r="J410" i="11"/>
  <c r="Q410" i="11"/>
  <c r="O420" i="11"/>
  <c r="N420" i="11"/>
  <c r="Q296" i="11"/>
  <c r="J232" i="11"/>
  <c r="G231" i="75"/>
  <c r="Q293" i="11"/>
  <c r="J284" i="11"/>
  <c r="O284" i="11"/>
  <c r="G146" i="75"/>
  <c r="I146" i="75" s="1"/>
  <c r="J146" i="75" s="1"/>
  <c r="J146" i="11"/>
  <c r="G188" i="75"/>
  <c r="I188" i="75" s="1"/>
  <c r="J189" i="11"/>
  <c r="K190" i="75"/>
  <c r="M190" i="75" s="1"/>
  <c r="K190" i="78" s="1"/>
  <c r="M190" i="78" s="1"/>
  <c r="N191" i="11"/>
  <c r="K124" i="75"/>
  <c r="M124" i="75" s="1"/>
  <c r="K124" i="78" s="1"/>
  <c r="M124" i="78" s="1"/>
  <c r="O124" i="11"/>
  <c r="M35" i="11"/>
  <c r="H35" i="11"/>
  <c r="I35" i="11" s="1"/>
  <c r="H47" i="11"/>
  <c r="I47" i="11" s="1"/>
  <c r="F11" i="2" s="1"/>
  <c r="D6" i="71" s="1"/>
  <c r="K47" i="11"/>
  <c r="M45" i="11"/>
  <c r="G67" i="11"/>
  <c r="I67" i="11" s="1"/>
  <c r="I77" i="11"/>
  <c r="F14" i="2" s="1"/>
  <c r="D8" i="71" s="1"/>
  <c r="G103" i="11"/>
  <c r="I103" i="11" s="1"/>
  <c r="I113" i="11"/>
  <c r="F152" i="11"/>
  <c r="J152" i="11" s="1"/>
  <c r="J150" i="11"/>
  <c r="I142" i="75"/>
  <c r="Q169" i="11"/>
  <c r="N169" i="11"/>
  <c r="F14" i="11"/>
  <c r="O14" i="11" s="1"/>
  <c r="D12" i="11"/>
  <c r="M28" i="11"/>
  <c r="O235" i="75"/>
  <c r="O240" i="11"/>
  <c r="J210" i="11"/>
  <c r="G209" i="75"/>
  <c r="I73" i="75"/>
  <c r="N75" i="75"/>
  <c r="O75" i="75"/>
  <c r="Q75" i="75"/>
  <c r="O247" i="11"/>
  <c r="Q20" i="11"/>
  <c r="G20" i="75"/>
  <c r="I20" i="75" s="1"/>
  <c r="M39" i="75"/>
  <c r="K39" i="78" s="1"/>
  <c r="N122" i="75"/>
  <c r="O122" i="75"/>
  <c r="G152" i="75"/>
  <c r="I152" i="75" s="1"/>
  <c r="J152" i="75" s="1"/>
  <c r="G148" i="75"/>
  <c r="I148" i="75" s="1"/>
  <c r="I150" i="75"/>
  <c r="J213" i="75"/>
  <c r="M222" i="11"/>
  <c r="N222" i="11" s="1"/>
  <c r="O233" i="75"/>
  <c r="N233" i="75"/>
  <c r="J89" i="11"/>
  <c r="G89" i="75"/>
  <c r="I89" i="75" s="1"/>
  <c r="Q146" i="11"/>
  <c r="O158" i="75"/>
  <c r="N158" i="75"/>
  <c r="N69" i="11"/>
  <c r="O69" i="11"/>
  <c r="O144" i="11"/>
  <c r="M26" i="75"/>
  <c r="K28" i="75"/>
  <c r="M28" i="75" s="1"/>
  <c r="N28" i="75" s="1"/>
  <c r="K24" i="75"/>
  <c r="Q75" i="11"/>
  <c r="F147" i="11"/>
  <c r="O142" i="11"/>
  <c r="N142" i="11"/>
  <c r="K142" i="75"/>
  <c r="N95" i="11"/>
  <c r="K95" i="75"/>
  <c r="O135" i="11"/>
  <c r="I137" i="75"/>
  <c r="G137" i="78" s="1"/>
  <c r="I137" i="78" s="1"/>
  <c r="M147" i="11"/>
  <c r="N147" i="11" s="1"/>
  <c r="I208" i="11"/>
  <c r="J208" i="11" s="1"/>
  <c r="J164" i="11"/>
  <c r="G164" i="75"/>
  <c r="O203" i="75"/>
  <c r="N203" i="75"/>
  <c r="O244" i="11"/>
  <c r="M77" i="11"/>
  <c r="H14" i="2" s="1"/>
  <c r="I22" i="11"/>
  <c r="J22" i="11" s="1"/>
  <c r="I91" i="11"/>
  <c r="Q91" i="11" s="1"/>
  <c r="J120" i="11"/>
  <c r="J187" i="11"/>
  <c r="I171" i="75"/>
  <c r="G173" i="75"/>
  <c r="I173" i="75" s="1"/>
  <c r="J173" i="75" s="1"/>
  <c r="G169" i="75"/>
  <c r="I169" i="75" s="1"/>
  <c r="J169" i="75" s="1"/>
  <c r="O204" i="11"/>
  <c r="O85" i="11"/>
  <c r="J71" i="11"/>
  <c r="G71" i="75"/>
  <c r="I71" i="75" s="1"/>
  <c r="N71" i="11"/>
  <c r="K71" i="75"/>
  <c r="O71" i="11"/>
  <c r="Q16" i="11"/>
  <c r="G16" i="75"/>
  <c r="O39" i="11"/>
  <c r="J41" i="75"/>
  <c r="N43" i="75"/>
  <c r="O43" i="75"/>
  <c r="K62" i="75"/>
  <c r="K54" i="75"/>
  <c r="M54" i="75" s="1"/>
  <c r="M85" i="75"/>
  <c r="K85" i="78" s="1"/>
  <c r="K91" i="75"/>
  <c r="M91" i="75" s="1"/>
  <c r="K156" i="75"/>
  <c r="O156" i="11"/>
  <c r="M184" i="75"/>
  <c r="K184" i="78" s="1"/>
  <c r="M223" i="75"/>
  <c r="K223" i="78" s="1"/>
  <c r="K227" i="75"/>
  <c r="I247" i="75"/>
  <c r="G251" i="75"/>
  <c r="O146" i="75"/>
  <c r="N146" i="75"/>
  <c r="O188" i="75"/>
  <c r="N188" i="75"/>
  <c r="I120" i="75"/>
  <c r="F220" i="11"/>
  <c r="O220" i="11" s="1"/>
  <c r="I28" i="11"/>
  <c r="C17" i="76"/>
  <c r="F126" i="11"/>
  <c r="O126" i="11" s="1"/>
  <c r="F62" i="11"/>
  <c r="J62" i="11" s="1"/>
  <c r="K173" i="75"/>
  <c r="M173" i="75" s="1"/>
  <c r="M171" i="75"/>
  <c r="K171" i="78" s="1"/>
  <c r="K169" i="75"/>
  <c r="M169" i="75" s="1"/>
  <c r="J18" i="11"/>
  <c r="G18" i="75"/>
  <c r="M135" i="75"/>
  <c r="K135" i="78" s="1"/>
  <c r="M208" i="11"/>
  <c r="K166" i="75"/>
  <c r="M166" i="75" s="1"/>
  <c r="K162" i="75"/>
  <c r="M162" i="75" s="1"/>
  <c r="M164" i="75"/>
  <c r="K164" i="78" s="1"/>
  <c r="O200" i="11"/>
  <c r="K243" i="75"/>
  <c r="M243" i="75" s="1"/>
  <c r="M241" i="75"/>
  <c r="K241" i="78" s="1"/>
  <c r="K239" i="75"/>
  <c r="M239" i="75" s="1"/>
  <c r="H12" i="11"/>
  <c r="M22" i="11"/>
  <c r="M96" i="11"/>
  <c r="N135" i="11"/>
  <c r="J144" i="11"/>
  <c r="J191" i="11"/>
  <c r="N73" i="75"/>
  <c r="O73" i="75"/>
  <c r="O73" i="11"/>
  <c r="O75" i="11"/>
  <c r="I223" i="75"/>
  <c r="G223" i="78" s="1"/>
  <c r="Q226" i="11"/>
  <c r="G225" i="75"/>
  <c r="I225" i="75" s="1"/>
  <c r="G225" i="78" s="1"/>
  <c r="I225" i="78" s="1"/>
  <c r="J242" i="11"/>
  <c r="M176" i="11"/>
  <c r="H20" i="2" s="1"/>
  <c r="E13" i="71" s="1"/>
  <c r="Q251" i="11"/>
  <c r="N251" i="11"/>
  <c r="N240" i="11"/>
  <c r="Q242" i="11"/>
  <c r="N244" i="11"/>
  <c r="N242" i="11"/>
  <c r="Q244" i="11"/>
  <c r="L256" i="11"/>
  <c r="M256" i="11" s="1"/>
  <c r="H19" i="2" s="1"/>
  <c r="E12" i="71" s="1"/>
  <c r="N226" i="11"/>
  <c r="M228" i="11"/>
  <c r="O228" i="11" s="1"/>
  <c r="Q222" i="11"/>
  <c r="Q216" i="11"/>
  <c r="L198" i="11"/>
  <c r="M131" i="11"/>
  <c r="Q164" i="11"/>
  <c r="N140" i="11"/>
  <c r="Q140" i="11"/>
  <c r="Q95" i="11"/>
  <c r="Q93" i="11"/>
  <c r="L82" i="11"/>
  <c r="M82" i="11" s="1"/>
  <c r="L98" i="11"/>
  <c r="M98" i="11" s="1"/>
  <c r="H13" i="2" s="1"/>
  <c r="E7" i="71" s="1"/>
  <c r="N89" i="11"/>
  <c r="N83" i="11"/>
  <c r="N85" i="11"/>
  <c r="Q85" i="11"/>
  <c r="L67" i="11"/>
  <c r="M67" i="11" s="1"/>
  <c r="M12" i="11"/>
  <c r="L30" i="11"/>
  <c r="Q18" i="11"/>
  <c r="M30" i="11"/>
  <c r="H9" i="2" s="1"/>
  <c r="I253" i="11"/>
  <c r="J247" i="11"/>
  <c r="Q247" i="11"/>
  <c r="Q240" i="11"/>
  <c r="J244" i="11"/>
  <c r="Q230" i="11"/>
  <c r="Q232" i="11"/>
  <c r="I228" i="11"/>
  <c r="J224" i="11"/>
  <c r="H256" i="11"/>
  <c r="I256" i="11" s="1"/>
  <c r="F19" i="2" s="1"/>
  <c r="D12" i="71" s="1"/>
  <c r="J218" i="11"/>
  <c r="Q218" i="11"/>
  <c r="Q214" i="11"/>
  <c r="H198" i="11"/>
  <c r="I198" i="11" s="1"/>
  <c r="J214" i="11"/>
  <c r="I220" i="11"/>
  <c r="J220" i="11" s="1"/>
  <c r="J166" i="11"/>
  <c r="Q166" i="11"/>
  <c r="I162" i="11"/>
  <c r="J162" i="11" s="1"/>
  <c r="Q142" i="11"/>
  <c r="H98" i="11"/>
  <c r="H82" i="11"/>
  <c r="I82" i="11" s="1"/>
  <c r="I98" i="11"/>
  <c r="Q83" i="11"/>
  <c r="Q71" i="11"/>
  <c r="C13" i="2"/>
  <c r="C7" i="71" s="1"/>
  <c r="J69" i="11"/>
  <c r="D67" i="11"/>
  <c r="D256" i="11"/>
  <c r="J222" i="11"/>
  <c r="J226" i="11"/>
  <c r="N220" i="11"/>
  <c r="N208" i="11"/>
  <c r="D198" i="11"/>
  <c r="F198" i="11" s="1"/>
  <c r="J200" i="11"/>
  <c r="N206" i="11"/>
  <c r="F181" i="11"/>
  <c r="J181" i="11" s="1"/>
  <c r="C11" i="71"/>
  <c r="N183" i="11"/>
  <c r="J193" i="11"/>
  <c r="F160" i="11"/>
  <c r="J160" i="11" s="1"/>
  <c r="N154" i="11"/>
  <c r="F140" i="11"/>
  <c r="O140" i="11" s="1"/>
  <c r="J142" i="11"/>
  <c r="C20" i="76"/>
  <c r="E20" i="76" s="1"/>
  <c r="C17" i="2"/>
  <c r="J126" i="11"/>
  <c r="J118" i="11"/>
  <c r="D118" i="11"/>
  <c r="F118" i="11" s="1"/>
  <c r="O118" i="11" s="1"/>
  <c r="J103" i="11"/>
  <c r="J111" i="11"/>
  <c r="J93" i="11"/>
  <c r="J83" i="11"/>
  <c r="N91" i="11"/>
  <c r="E10" i="71"/>
  <c r="F77" i="11"/>
  <c r="N77" i="11" s="1"/>
  <c r="E67" i="11"/>
  <c r="E462" i="11"/>
  <c r="D11" i="71"/>
  <c r="E18" i="2"/>
  <c r="G18" i="2" s="1"/>
  <c r="E14" i="2"/>
  <c r="J75" i="11"/>
  <c r="N75" i="11"/>
  <c r="J73" i="11"/>
  <c r="C8" i="71"/>
  <c r="J54" i="11"/>
  <c r="N54" i="11"/>
  <c r="O54" i="11"/>
  <c r="J60" i="11"/>
  <c r="C10" i="2"/>
  <c r="O60" i="11"/>
  <c r="N58" i="11"/>
  <c r="D52" i="11"/>
  <c r="F52" i="11" s="1"/>
  <c r="N37" i="11"/>
  <c r="O37" i="11"/>
  <c r="J37" i="11"/>
  <c r="J41" i="11"/>
  <c r="J45" i="11"/>
  <c r="D47" i="11"/>
  <c r="O45" i="11"/>
  <c r="D35" i="11"/>
  <c r="F35" i="11" s="1"/>
  <c r="J39" i="11"/>
  <c r="H30" i="11"/>
  <c r="I12" i="11"/>
  <c r="Q12" i="11" s="1"/>
  <c r="I14" i="11"/>
  <c r="Q14" i="11" s="1"/>
  <c r="N28" i="11"/>
  <c r="N26" i="11"/>
  <c r="J26" i="11"/>
  <c r="J20" i="11"/>
  <c r="C9" i="2"/>
  <c r="C19" i="2" l="1"/>
  <c r="C19" i="88"/>
  <c r="E19" i="88" s="1"/>
  <c r="C19" i="85"/>
  <c r="E19" i="85" s="1"/>
  <c r="C19" i="82"/>
  <c r="E19" i="82" s="1"/>
  <c r="C19" i="79"/>
  <c r="E19" i="79" s="1"/>
  <c r="O133" i="11"/>
  <c r="F131" i="11"/>
  <c r="K158" i="87"/>
  <c r="M158" i="87" s="1"/>
  <c r="N158" i="84"/>
  <c r="O158" i="84"/>
  <c r="O233" i="84"/>
  <c r="N233" i="84"/>
  <c r="K233" i="87"/>
  <c r="M233" i="87" s="1"/>
  <c r="E14" i="79"/>
  <c r="C12" i="79"/>
  <c r="E12" i="79" s="1"/>
  <c r="E17" i="85"/>
  <c r="C9" i="76"/>
  <c r="E9" i="76" s="1"/>
  <c r="C9" i="100"/>
  <c r="C9" i="97"/>
  <c r="C9" i="91"/>
  <c r="C9" i="88"/>
  <c r="C9" i="85"/>
  <c r="C9" i="82"/>
  <c r="C9" i="79"/>
  <c r="I15" i="79"/>
  <c r="J15" i="79"/>
  <c r="G15" i="79"/>
  <c r="C11" i="101"/>
  <c r="C11" i="98"/>
  <c r="C11" i="92"/>
  <c r="C11" i="89"/>
  <c r="C11" i="86"/>
  <c r="J213" i="81"/>
  <c r="G213" i="84"/>
  <c r="I213" i="84" s="1"/>
  <c r="E14" i="82"/>
  <c r="C12" i="82"/>
  <c r="E12" i="82" s="1"/>
  <c r="E17" i="88"/>
  <c r="G15" i="82"/>
  <c r="J15" i="82"/>
  <c r="I15" i="82"/>
  <c r="O222" i="11"/>
  <c r="K75" i="87"/>
  <c r="M75" i="87" s="1"/>
  <c r="N75" i="84"/>
  <c r="O75" i="84"/>
  <c r="K87" i="99"/>
  <c r="M87" i="99" s="1"/>
  <c r="O87" i="96"/>
  <c r="Q87" i="96"/>
  <c r="N87" i="96"/>
  <c r="E14" i="85"/>
  <c r="C12" i="85"/>
  <c r="E17" i="91"/>
  <c r="C16" i="91"/>
  <c r="J15" i="85"/>
  <c r="I15" i="85"/>
  <c r="G15" i="85"/>
  <c r="K188" i="87"/>
  <c r="M188" i="87" s="1"/>
  <c r="N188" i="84"/>
  <c r="O188" i="84"/>
  <c r="E14" i="88"/>
  <c r="C12" i="88"/>
  <c r="C16" i="97"/>
  <c r="E17" i="97"/>
  <c r="J15" i="88"/>
  <c r="I15" i="88"/>
  <c r="G15" i="88"/>
  <c r="J349" i="11"/>
  <c r="J41" i="81"/>
  <c r="G41" i="84"/>
  <c r="I41" i="84" s="1"/>
  <c r="E14" i="91"/>
  <c r="C12" i="91"/>
  <c r="C16" i="100"/>
  <c r="E17" i="100"/>
  <c r="G15" i="91"/>
  <c r="J15" i="91"/>
  <c r="I15" i="91"/>
  <c r="C9" i="101"/>
  <c r="C9" i="98"/>
  <c r="C9" i="92"/>
  <c r="C9" i="89"/>
  <c r="C9" i="86"/>
  <c r="Q103" i="11"/>
  <c r="K73" i="87"/>
  <c r="M73" i="87" s="1"/>
  <c r="O73" i="84"/>
  <c r="N73" i="84"/>
  <c r="E14" i="97"/>
  <c r="C12" i="97"/>
  <c r="J15" i="97"/>
  <c r="G15" i="97"/>
  <c r="I15" i="97"/>
  <c r="C5" i="101"/>
  <c r="C5" i="98"/>
  <c r="C5" i="92"/>
  <c r="C5" i="89"/>
  <c r="C5" i="86"/>
  <c r="K203" i="87"/>
  <c r="M203" i="87" s="1"/>
  <c r="O203" i="84"/>
  <c r="N203" i="84"/>
  <c r="K146" i="87"/>
  <c r="M146" i="87" s="1"/>
  <c r="O146" i="84"/>
  <c r="N146" i="84"/>
  <c r="Q146" i="84"/>
  <c r="E14" i="100"/>
  <c r="C12" i="100"/>
  <c r="N58" i="96"/>
  <c r="K58" i="99"/>
  <c r="M58" i="99" s="1"/>
  <c r="O58" i="96"/>
  <c r="J415" i="11"/>
  <c r="O415" i="11"/>
  <c r="J15" i="100"/>
  <c r="G15" i="100"/>
  <c r="I15" i="100"/>
  <c r="G147" i="75"/>
  <c r="Q35" i="11"/>
  <c r="J28" i="11"/>
  <c r="N144" i="84"/>
  <c r="K144" i="87"/>
  <c r="M144" i="87" s="1"/>
  <c r="O144" i="84"/>
  <c r="Q144" i="84"/>
  <c r="G58" i="96"/>
  <c r="I58" i="96" s="1"/>
  <c r="J58" i="90"/>
  <c r="J139" i="11"/>
  <c r="I176" i="11"/>
  <c r="O280" i="11"/>
  <c r="Q280" i="11"/>
  <c r="C11" i="100"/>
  <c r="E11" i="100" s="1"/>
  <c r="C11" i="97"/>
  <c r="E11" i="97" s="1"/>
  <c r="C11" i="91"/>
  <c r="E11" i="91" s="1"/>
  <c r="C11" i="88"/>
  <c r="E11" i="88" s="1"/>
  <c r="C11" i="85"/>
  <c r="E11" i="85" s="1"/>
  <c r="C11" i="82"/>
  <c r="E11" i="82" s="1"/>
  <c r="C11" i="79"/>
  <c r="E11" i="79" s="1"/>
  <c r="C4" i="101"/>
  <c r="C4" i="98"/>
  <c r="C4" i="92"/>
  <c r="C4" i="89"/>
  <c r="C4" i="86"/>
  <c r="Q77" i="11"/>
  <c r="N453" i="11"/>
  <c r="C20" i="88"/>
  <c r="E20" i="88" s="1"/>
  <c r="C20" i="85"/>
  <c r="E20" i="85" s="1"/>
  <c r="C20" i="82"/>
  <c r="E20" i="82" s="1"/>
  <c r="C20" i="79"/>
  <c r="E20" i="79" s="1"/>
  <c r="E17" i="79"/>
  <c r="C16" i="79"/>
  <c r="C10" i="101"/>
  <c r="C10" i="98"/>
  <c r="C10" i="92"/>
  <c r="C10" i="89"/>
  <c r="C10" i="86"/>
  <c r="Q67" i="11"/>
  <c r="Q208" i="11"/>
  <c r="N93" i="11"/>
  <c r="J113" i="11"/>
  <c r="K122" i="87"/>
  <c r="M122" i="87" s="1"/>
  <c r="N122" i="84"/>
  <c r="O122" i="84"/>
  <c r="K43" i="87"/>
  <c r="M43" i="87" s="1"/>
  <c r="O43" i="84"/>
  <c r="N43" i="84"/>
  <c r="K224" i="90"/>
  <c r="M224" i="90" s="1"/>
  <c r="O225" i="87"/>
  <c r="N225" i="87"/>
  <c r="C16" i="82"/>
  <c r="E17" i="82"/>
  <c r="I105" i="87"/>
  <c r="J105" i="84"/>
  <c r="Q105" i="84"/>
  <c r="M56" i="87"/>
  <c r="K56" i="90" s="1"/>
  <c r="I56" i="84"/>
  <c r="N56" i="84"/>
  <c r="O56" i="84"/>
  <c r="C4" i="77"/>
  <c r="C4" i="83"/>
  <c r="C4" i="80"/>
  <c r="C5" i="77"/>
  <c r="C5" i="83"/>
  <c r="C5" i="80"/>
  <c r="C12" i="83"/>
  <c r="C12" i="80"/>
  <c r="Q213" i="75"/>
  <c r="C10" i="77"/>
  <c r="C10" i="83"/>
  <c r="C10" i="80"/>
  <c r="C9" i="77"/>
  <c r="C9" i="83"/>
  <c r="C9" i="80"/>
  <c r="C11" i="77"/>
  <c r="C11" i="83"/>
  <c r="C11" i="80"/>
  <c r="K162" i="78"/>
  <c r="M162" i="78" s="1"/>
  <c r="K166" i="78"/>
  <c r="M166" i="78" s="1"/>
  <c r="M164" i="78"/>
  <c r="J120" i="75"/>
  <c r="G120" i="78"/>
  <c r="J247" i="75"/>
  <c r="G247" i="78"/>
  <c r="M85" i="78"/>
  <c r="K91" i="78"/>
  <c r="J171" i="75"/>
  <c r="G171" i="78"/>
  <c r="K26" i="78"/>
  <c r="Q26" i="75"/>
  <c r="J89" i="75"/>
  <c r="G89" i="78"/>
  <c r="I89" i="78" s="1"/>
  <c r="Q89" i="78" s="1"/>
  <c r="K37" i="78"/>
  <c r="M37" i="78" s="1"/>
  <c r="M39" i="78"/>
  <c r="K45" i="78"/>
  <c r="N124" i="78"/>
  <c r="O124" i="78"/>
  <c r="K124" i="81"/>
  <c r="M124" i="81" s="1"/>
  <c r="K124" i="84" s="1"/>
  <c r="M124" i="84" s="1"/>
  <c r="K124" i="87" s="1"/>
  <c r="M124" i="87" s="1"/>
  <c r="K124" i="90" s="1"/>
  <c r="Q124" i="78"/>
  <c r="J188" i="75"/>
  <c r="G188" i="78"/>
  <c r="I188" i="78" s="1"/>
  <c r="I60" i="78"/>
  <c r="G62" i="78"/>
  <c r="G54" i="78"/>
  <c r="I54" i="78" s="1"/>
  <c r="J39" i="75"/>
  <c r="G39" i="78"/>
  <c r="K137" i="81"/>
  <c r="M137" i="81" s="1"/>
  <c r="K137" i="84" s="1"/>
  <c r="M137" i="84" s="1"/>
  <c r="N137" i="78"/>
  <c r="O137" i="78"/>
  <c r="Q137" i="78"/>
  <c r="K20" i="81"/>
  <c r="M20" i="81" s="1"/>
  <c r="K20" i="84" s="1"/>
  <c r="M20" i="84" s="1"/>
  <c r="K20" i="87" s="1"/>
  <c r="M20" i="87" s="1"/>
  <c r="O20" i="78"/>
  <c r="N20" i="78"/>
  <c r="K18" i="81"/>
  <c r="M18" i="81" s="1"/>
  <c r="K18" i="84" s="1"/>
  <c r="M18" i="84" s="1"/>
  <c r="K18" i="87" s="1"/>
  <c r="M18" i="87" s="1"/>
  <c r="K18" i="90" s="1"/>
  <c r="M18" i="90" s="1"/>
  <c r="K18" i="96" s="1"/>
  <c r="M18" i="96" s="1"/>
  <c r="N18" i="78"/>
  <c r="O18" i="78"/>
  <c r="N105" i="78"/>
  <c r="Q105" i="78"/>
  <c r="K105" i="81"/>
  <c r="M105" i="81" s="1"/>
  <c r="O105" i="78"/>
  <c r="K89" i="81"/>
  <c r="M89" i="81" s="1"/>
  <c r="K89" i="84" s="1"/>
  <c r="M89" i="84" s="1"/>
  <c r="O89" i="78"/>
  <c r="N89" i="78"/>
  <c r="J122" i="75"/>
  <c r="G122" i="78"/>
  <c r="I122" i="78" s="1"/>
  <c r="K60" i="81"/>
  <c r="Q60" i="78"/>
  <c r="O60" i="78"/>
  <c r="N60" i="78"/>
  <c r="O73" i="81"/>
  <c r="N73" i="81"/>
  <c r="G217" i="81"/>
  <c r="I217" i="81" s="1"/>
  <c r="J217" i="78"/>
  <c r="G190" i="81"/>
  <c r="I190" i="81" s="1"/>
  <c r="J190" i="78"/>
  <c r="N144" i="81"/>
  <c r="O144" i="81"/>
  <c r="Q144" i="81"/>
  <c r="J215" i="78"/>
  <c r="G215" i="81"/>
  <c r="I215" i="81" s="1"/>
  <c r="G250" i="81"/>
  <c r="I250" i="81" s="1"/>
  <c r="J249" i="78"/>
  <c r="Q146" i="81"/>
  <c r="N146" i="81"/>
  <c r="O146" i="81"/>
  <c r="I223" i="78"/>
  <c r="G227" i="78"/>
  <c r="M241" i="78"/>
  <c r="K239" i="78"/>
  <c r="M239" i="78" s="1"/>
  <c r="K243" i="78"/>
  <c r="M243" i="78" s="1"/>
  <c r="K139" i="75"/>
  <c r="M139" i="75" s="1"/>
  <c r="N139" i="75" s="1"/>
  <c r="M171" i="78"/>
  <c r="K173" i="78"/>
  <c r="M173" i="78" s="1"/>
  <c r="K169" i="78"/>
  <c r="M169" i="78" s="1"/>
  <c r="G126" i="75"/>
  <c r="I126" i="75" s="1"/>
  <c r="J137" i="78"/>
  <c r="G137" i="81"/>
  <c r="I137" i="81" s="1"/>
  <c r="J20" i="75"/>
  <c r="G20" i="78"/>
  <c r="I20" i="78" s="1"/>
  <c r="K150" i="81"/>
  <c r="M150" i="81" s="1"/>
  <c r="K150" i="84" s="1"/>
  <c r="M150" i="84" s="1"/>
  <c r="O150" i="78"/>
  <c r="N150" i="78"/>
  <c r="K215" i="81"/>
  <c r="M215" i="81" s="1"/>
  <c r="K215" i="84" s="1"/>
  <c r="M215" i="84" s="1"/>
  <c r="Q215" i="78"/>
  <c r="N215" i="78"/>
  <c r="O215" i="78"/>
  <c r="N122" i="81"/>
  <c r="O122" i="81"/>
  <c r="O158" i="81"/>
  <c r="N158" i="81"/>
  <c r="O43" i="81"/>
  <c r="N43" i="81"/>
  <c r="N188" i="81"/>
  <c r="O188" i="81"/>
  <c r="K139" i="78"/>
  <c r="M135" i="78"/>
  <c r="K133" i="78"/>
  <c r="M223" i="78"/>
  <c r="K227" i="78"/>
  <c r="J71" i="75"/>
  <c r="G71" i="78"/>
  <c r="K190" i="81"/>
  <c r="M190" i="81" s="1"/>
  <c r="K190" i="84" s="1"/>
  <c r="M190" i="84" s="1"/>
  <c r="O190" i="78"/>
  <c r="Q190" i="78"/>
  <c r="N190" i="78"/>
  <c r="K41" i="81"/>
  <c r="M41" i="81" s="1"/>
  <c r="K41" i="84" s="1"/>
  <c r="M41" i="84" s="1"/>
  <c r="O41" i="78"/>
  <c r="Q41" i="78"/>
  <c r="N41" i="78"/>
  <c r="J135" i="75"/>
  <c r="G135" i="78"/>
  <c r="K186" i="81"/>
  <c r="M186" i="81" s="1"/>
  <c r="K186" i="84" s="1"/>
  <c r="M186" i="84" s="1"/>
  <c r="Q186" i="78"/>
  <c r="N186" i="78"/>
  <c r="O186" i="78"/>
  <c r="I156" i="78"/>
  <c r="G156" i="81" s="1"/>
  <c r="J26" i="75"/>
  <c r="G26" i="78"/>
  <c r="K235" i="81"/>
  <c r="M235" i="81" s="1"/>
  <c r="K235" i="84" s="1"/>
  <c r="M235" i="84" s="1"/>
  <c r="O235" i="78"/>
  <c r="N235" i="78"/>
  <c r="N75" i="81"/>
  <c r="O75" i="81"/>
  <c r="O203" i="81"/>
  <c r="N203" i="81"/>
  <c r="K52" i="78"/>
  <c r="M52" i="78" s="1"/>
  <c r="M62" i="78"/>
  <c r="G124" i="81"/>
  <c r="I124" i="81" s="1"/>
  <c r="J124" i="78"/>
  <c r="G75" i="81"/>
  <c r="I75" i="81" s="1"/>
  <c r="J75" i="78"/>
  <c r="G186" i="81"/>
  <c r="I186" i="81" s="1"/>
  <c r="J186" i="78"/>
  <c r="G105" i="81"/>
  <c r="I105" i="81" s="1"/>
  <c r="J105" i="81" s="1"/>
  <c r="J105" i="78"/>
  <c r="G225" i="81"/>
  <c r="I225" i="81" s="1"/>
  <c r="G225" i="84" s="1"/>
  <c r="I225" i="84" s="1"/>
  <c r="J225" i="78"/>
  <c r="Q225" i="78"/>
  <c r="Q188" i="75"/>
  <c r="K192" i="78"/>
  <c r="M192" i="78" s="1"/>
  <c r="M184" i="78"/>
  <c r="K182" i="78"/>
  <c r="K83" i="75"/>
  <c r="Q41" i="75"/>
  <c r="J150" i="75"/>
  <c r="G150" i="78"/>
  <c r="J73" i="75"/>
  <c r="G73" i="78"/>
  <c r="I73" i="78" s="1"/>
  <c r="J142" i="75"/>
  <c r="G142" i="78"/>
  <c r="K213" i="81"/>
  <c r="M213" i="81" s="1"/>
  <c r="K213" i="84" s="1"/>
  <c r="M213" i="84" s="1"/>
  <c r="N213" i="78"/>
  <c r="O213" i="78"/>
  <c r="Q213" i="78"/>
  <c r="K250" i="81"/>
  <c r="M250" i="81" s="1"/>
  <c r="K250" i="84" s="1"/>
  <c r="M250" i="84" s="1"/>
  <c r="O249" i="78"/>
  <c r="N249" i="78"/>
  <c r="Q249" i="78"/>
  <c r="J241" i="75"/>
  <c r="G241" i="78"/>
  <c r="K217" i="81"/>
  <c r="M217" i="81" s="1"/>
  <c r="K217" i="84" s="1"/>
  <c r="M217" i="84" s="1"/>
  <c r="O217" i="78"/>
  <c r="Q217" i="78"/>
  <c r="N217" i="78"/>
  <c r="K211" i="81"/>
  <c r="M211" i="81" s="1"/>
  <c r="K211" i="84" s="1"/>
  <c r="M211" i="84" s="1"/>
  <c r="O211" i="78"/>
  <c r="N211" i="78"/>
  <c r="J211" i="75"/>
  <c r="G211" i="78"/>
  <c r="I211" i="78" s="1"/>
  <c r="Q211" i="78" s="1"/>
  <c r="J43" i="75"/>
  <c r="G43" i="78"/>
  <c r="I43" i="78" s="1"/>
  <c r="J235" i="75"/>
  <c r="G235" i="78"/>
  <c r="I235" i="78" s="1"/>
  <c r="Q235" i="78" s="1"/>
  <c r="N54" i="78"/>
  <c r="O54" i="78"/>
  <c r="O233" i="81"/>
  <c r="N233" i="81"/>
  <c r="Q235" i="75"/>
  <c r="K462" i="11"/>
  <c r="N235" i="75"/>
  <c r="J357" i="11"/>
  <c r="O357" i="11"/>
  <c r="J459" i="11"/>
  <c r="O459" i="11"/>
  <c r="J240" i="11"/>
  <c r="O208" i="11"/>
  <c r="M357" i="11"/>
  <c r="N357" i="11" s="1"/>
  <c r="E9" i="2"/>
  <c r="J91" i="11"/>
  <c r="G227" i="75"/>
  <c r="I227" i="75" s="1"/>
  <c r="K192" i="75"/>
  <c r="K45" i="75"/>
  <c r="K47" i="75" s="1"/>
  <c r="C4" i="71"/>
  <c r="O62" i="11"/>
  <c r="E15" i="2"/>
  <c r="J15" i="2" s="1"/>
  <c r="N200" i="11"/>
  <c r="K133" i="75"/>
  <c r="M133" i="75" s="1"/>
  <c r="G133" i="75"/>
  <c r="G462" i="11"/>
  <c r="O82" i="11"/>
  <c r="F20" i="2"/>
  <c r="F16" i="2" s="1"/>
  <c r="N133" i="11"/>
  <c r="M198" i="11"/>
  <c r="N198" i="11" s="1"/>
  <c r="J77" i="11"/>
  <c r="O77" i="11"/>
  <c r="N181" i="11"/>
  <c r="O181" i="11"/>
  <c r="Q228" i="11"/>
  <c r="N239" i="75"/>
  <c r="Q239" i="75"/>
  <c r="O239" i="75"/>
  <c r="N164" i="75"/>
  <c r="O164" i="75"/>
  <c r="N135" i="75"/>
  <c r="Q135" i="75"/>
  <c r="O135" i="75"/>
  <c r="O223" i="75"/>
  <c r="N223" i="75"/>
  <c r="N85" i="75"/>
  <c r="O85" i="75"/>
  <c r="K147" i="75"/>
  <c r="M142" i="75"/>
  <c r="K142" i="78" s="1"/>
  <c r="K140" i="75"/>
  <c r="M140" i="75" s="1"/>
  <c r="I209" i="75"/>
  <c r="G207" i="75"/>
  <c r="I207" i="75" s="1"/>
  <c r="J207" i="75" s="1"/>
  <c r="G219" i="75"/>
  <c r="I219" i="75" s="1"/>
  <c r="J219" i="75" s="1"/>
  <c r="O124" i="75"/>
  <c r="Q124" i="75"/>
  <c r="N124" i="75"/>
  <c r="M247" i="75"/>
  <c r="K247" i="78" s="1"/>
  <c r="K251" i="75"/>
  <c r="K245" i="75"/>
  <c r="M245" i="75" s="1"/>
  <c r="J60" i="75"/>
  <c r="G62" i="75"/>
  <c r="G54" i="75"/>
  <c r="I54" i="75" s="1"/>
  <c r="J54" i="75" s="1"/>
  <c r="E13" i="76"/>
  <c r="C12" i="76"/>
  <c r="E12" i="76" s="1"/>
  <c r="J15" i="76"/>
  <c r="I15" i="76"/>
  <c r="G15" i="76"/>
  <c r="Q346" i="11"/>
  <c r="N346" i="11"/>
  <c r="G154" i="75"/>
  <c r="I154" i="75" s="1"/>
  <c r="I158" i="75"/>
  <c r="G158" i="78" s="1"/>
  <c r="I158" i="78" s="1"/>
  <c r="M120" i="75"/>
  <c r="K120" i="78" s="1"/>
  <c r="K126" i="75"/>
  <c r="Q105" i="75"/>
  <c r="O105" i="75"/>
  <c r="N105" i="75"/>
  <c r="G96" i="75"/>
  <c r="I96" i="75" s="1"/>
  <c r="J96" i="75" s="1"/>
  <c r="G93" i="75"/>
  <c r="I93" i="75" s="1"/>
  <c r="J93" i="75" s="1"/>
  <c r="I95" i="75"/>
  <c r="N14" i="11"/>
  <c r="C11" i="76"/>
  <c r="F47" i="11"/>
  <c r="N62" i="11"/>
  <c r="C9" i="71"/>
  <c r="N103" i="11"/>
  <c r="N228" i="11"/>
  <c r="Q82" i="11"/>
  <c r="Q241" i="75"/>
  <c r="N241" i="75"/>
  <c r="O241" i="75"/>
  <c r="O162" i="75"/>
  <c r="N162" i="75"/>
  <c r="O169" i="75"/>
  <c r="N169" i="75"/>
  <c r="Q169" i="75"/>
  <c r="G245" i="75"/>
  <c r="I245" i="75" s="1"/>
  <c r="J245" i="75" s="1"/>
  <c r="I251" i="75"/>
  <c r="J251" i="75" s="1"/>
  <c r="K182" i="75"/>
  <c r="M156" i="75"/>
  <c r="K156" i="78" s="1"/>
  <c r="K160" i="75"/>
  <c r="O54" i="75"/>
  <c r="N54" i="75"/>
  <c r="M71" i="75"/>
  <c r="K71" i="78" s="1"/>
  <c r="K77" i="75"/>
  <c r="Q148" i="75"/>
  <c r="J148" i="75"/>
  <c r="Q122" i="75"/>
  <c r="G140" i="75"/>
  <c r="I140" i="75" s="1"/>
  <c r="J140" i="75" s="1"/>
  <c r="G91" i="75"/>
  <c r="I91" i="75" s="1"/>
  <c r="J91" i="75" s="1"/>
  <c r="I85" i="75"/>
  <c r="G83" i="75"/>
  <c r="O137" i="75"/>
  <c r="N137" i="75"/>
  <c r="N249" i="75"/>
  <c r="O249" i="75"/>
  <c r="Q249" i="75"/>
  <c r="O238" i="11"/>
  <c r="F230" i="11"/>
  <c r="N238" i="11"/>
  <c r="N20" i="75"/>
  <c r="O20" i="75"/>
  <c r="Q20" i="75"/>
  <c r="O186" i="75"/>
  <c r="Q186" i="75"/>
  <c r="N186" i="75"/>
  <c r="M209" i="75"/>
  <c r="K209" i="78" s="1"/>
  <c r="K207" i="75"/>
  <c r="G160" i="75"/>
  <c r="I160" i="75" s="1"/>
  <c r="J160" i="75" s="1"/>
  <c r="N354" i="11"/>
  <c r="Q354" i="11"/>
  <c r="Q133" i="11"/>
  <c r="J133" i="11"/>
  <c r="O354" i="11"/>
  <c r="O103" i="11"/>
  <c r="Q243" i="75"/>
  <c r="O243" i="75"/>
  <c r="N243" i="75"/>
  <c r="N166" i="75"/>
  <c r="O166" i="75"/>
  <c r="Q171" i="75"/>
  <c r="N171" i="75"/>
  <c r="O171" i="75"/>
  <c r="E17" i="76"/>
  <c r="G118" i="75"/>
  <c r="I118" i="75" s="1"/>
  <c r="J118" i="75" s="1"/>
  <c r="N91" i="75"/>
  <c r="K52" i="75"/>
  <c r="M52" i="75" s="1"/>
  <c r="M62" i="75"/>
  <c r="I16" i="75"/>
  <c r="G22" i="75"/>
  <c r="I22" i="75" s="1"/>
  <c r="J22" i="75" s="1"/>
  <c r="K93" i="75"/>
  <c r="M93" i="75" s="1"/>
  <c r="K96" i="75"/>
  <c r="M96" i="75" s="1"/>
  <c r="M95" i="75"/>
  <c r="K95" i="78" s="1"/>
  <c r="M45" i="75"/>
  <c r="I147" i="75"/>
  <c r="F15" i="2"/>
  <c r="D9" i="71" s="1"/>
  <c r="Q113" i="11"/>
  <c r="M47" i="11"/>
  <c r="Q45" i="11"/>
  <c r="N190" i="75"/>
  <c r="O190" i="75"/>
  <c r="Q190" i="75"/>
  <c r="I231" i="75"/>
  <c r="N41" i="75"/>
  <c r="O41" i="75"/>
  <c r="M201" i="75"/>
  <c r="K201" i="78" s="1"/>
  <c r="K199" i="75"/>
  <c r="K205" i="75"/>
  <c r="Q150" i="75"/>
  <c r="N150" i="75"/>
  <c r="O150" i="75"/>
  <c r="N18" i="75"/>
  <c r="O18" i="75"/>
  <c r="J154" i="11"/>
  <c r="O154" i="11"/>
  <c r="N193" i="11"/>
  <c r="O193" i="11"/>
  <c r="Q238" i="11"/>
  <c r="I233" i="75"/>
  <c r="G233" i="78" s="1"/>
  <c r="I233" i="78" s="1"/>
  <c r="J238" i="11"/>
  <c r="N211" i="75"/>
  <c r="O211" i="75"/>
  <c r="Q211" i="75"/>
  <c r="I184" i="75"/>
  <c r="Q184" i="75" s="1"/>
  <c r="G182" i="75"/>
  <c r="G192" i="75"/>
  <c r="I192" i="75" s="1"/>
  <c r="F12" i="11"/>
  <c r="F30" i="11" s="1"/>
  <c r="O30" i="11" s="1"/>
  <c r="N45" i="11"/>
  <c r="F256" i="11"/>
  <c r="O256" i="11" s="1"/>
  <c r="C19" i="76"/>
  <c r="E19" i="76" s="1"/>
  <c r="F98" i="11"/>
  <c r="I131" i="11"/>
  <c r="Q131" i="11" s="1"/>
  <c r="N82" i="11"/>
  <c r="Q73" i="75"/>
  <c r="G14" i="75"/>
  <c r="I18" i="75"/>
  <c r="G18" i="78" s="1"/>
  <c r="I18" i="78" s="1"/>
  <c r="Q173" i="75"/>
  <c r="N173" i="75"/>
  <c r="O173" i="75"/>
  <c r="Q146" i="75"/>
  <c r="K221" i="75"/>
  <c r="M221" i="75" s="1"/>
  <c r="M227" i="75"/>
  <c r="O184" i="75"/>
  <c r="N184" i="75"/>
  <c r="M83" i="75"/>
  <c r="Q60" i="75"/>
  <c r="O60" i="75"/>
  <c r="N60" i="75"/>
  <c r="G162" i="75"/>
  <c r="I164" i="75"/>
  <c r="Q137" i="75"/>
  <c r="J137" i="75"/>
  <c r="O147" i="11"/>
  <c r="M24" i="75"/>
  <c r="Q24" i="75" s="1"/>
  <c r="O26" i="75"/>
  <c r="N26" i="75"/>
  <c r="N39" i="75"/>
  <c r="Q39" i="75"/>
  <c r="O39" i="75"/>
  <c r="G77" i="75"/>
  <c r="O213" i="75"/>
  <c r="N213" i="75"/>
  <c r="G47" i="75"/>
  <c r="I47" i="75" s="1"/>
  <c r="G35" i="75"/>
  <c r="I35" i="75" s="1"/>
  <c r="I45" i="75"/>
  <c r="J45" i="75" s="1"/>
  <c r="O217" i="75"/>
  <c r="Q217" i="75"/>
  <c r="N217" i="75"/>
  <c r="O105" i="11"/>
  <c r="J105" i="11"/>
  <c r="I203" i="75"/>
  <c r="G203" i="78" s="1"/>
  <c r="G205" i="75"/>
  <c r="I205" i="75" s="1"/>
  <c r="J205" i="75" s="1"/>
  <c r="G199" i="75"/>
  <c r="I199" i="75" s="1"/>
  <c r="J199" i="75" s="1"/>
  <c r="O215" i="75"/>
  <c r="N215" i="75"/>
  <c r="Q215" i="75"/>
  <c r="K237" i="75"/>
  <c r="M231" i="75"/>
  <c r="K231" i="78" s="1"/>
  <c r="O89" i="75"/>
  <c r="N89" i="75"/>
  <c r="Q89" i="75"/>
  <c r="J174" i="11"/>
  <c r="J225" i="75"/>
  <c r="Q225" i="75"/>
  <c r="E10" i="2"/>
  <c r="I10" i="2" s="1"/>
  <c r="I15" i="2"/>
  <c r="E17" i="2"/>
  <c r="G17" i="2" s="1"/>
  <c r="E13" i="2"/>
  <c r="J13" i="2" s="1"/>
  <c r="C5" i="71"/>
  <c r="E19" i="2"/>
  <c r="I19" i="2" s="1"/>
  <c r="C12" i="77"/>
  <c r="G221" i="75"/>
  <c r="Q223" i="75"/>
  <c r="J223" i="75"/>
  <c r="H16" i="2"/>
  <c r="N98" i="11"/>
  <c r="L462" i="11"/>
  <c r="S478" i="11" s="1"/>
  <c r="S479" i="11" s="1"/>
  <c r="E8" i="71"/>
  <c r="H12" i="2"/>
  <c r="E4" i="71"/>
  <c r="J253" i="11"/>
  <c r="Q253" i="11"/>
  <c r="Q256" i="11"/>
  <c r="J228" i="11"/>
  <c r="J198" i="11"/>
  <c r="Q220" i="11"/>
  <c r="D13" i="71"/>
  <c r="J82" i="11"/>
  <c r="Q98" i="11"/>
  <c r="F13" i="2"/>
  <c r="C12" i="2"/>
  <c r="E12" i="2" s="1"/>
  <c r="J98" i="11"/>
  <c r="F67" i="11"/>
  <c r="O67" i="11" s="1"/>
  <c r="C12" i="71"/>
  <c r="F176" i="11"/>
  <c r="C20" i="2"/>
  <c r="O131" i="11"/>
  <c r="J140" i="11"/>
  <c r="C10" i="71"/>
  <c r="N118" i="11"/>
  <c r="J18" i="2"/>
  <c r="I18" i="2"/>
  <c r="G14" i="2"/>
  <c r="J14" i="2"/>
  <c r="I14" i="2"/>
  <c r="O52" i="11"/>
  <c r="N52" i="11"/>
  <c r="J52" i="11"/>
  <c r="D462" i="11"/>
  <c r="C11" i="2"/>
  <c r="J35" i="11"/>
  <c r="N35" i="11"/>
  <c r="O35" i="11"/>
  <c r="H462" i="11"/>
  <c r="I30" i="11"/>
  <c r="J30" i="11" s="1"/>
  <c r="J14" i="11"/>
  <c r="J12" i="11"/>
  <c r="J9" i="2"/>
  <c r="I9" i="2"/>
  <c r="K186" i="87" l="1"/>
  <c r="M186" i="87" s="1"/>
  <c r="N186" i="84"/>
  <c r="O186" i="84"/>
  <c r="J217" i="81"/>
  <c r="G217" i="84"/>
  <c r="I217" i="84" s="1"/>
  <c r="K89" i="87"/>
  <c r="M89" i="87" s="1"/>
  <c r="O89" i="84"/>
  <c r="N89" i="84"/>
  <c r="J58" i="96"/>
  <c r="G58" i="99"/>
  <c r="I58" i="99" s="1"/>
  <c r="J58" i="99" s="1"/>
  <c r="E9" i="88"/>
  <c r="C8" i="88"/>
  <c r="E8" i="88" s="1"/>
  <c r="E12" i="97"/>
  <c r="E9" i="91"/>
  <c r="C8" i="91"/>
  <c r="E8" i="91" s="1"/>
  <c r="J186" i="81"/>
  <c r="G186" i="84"/>
  <c r="I186" i="84" s="1"/>
  <c r="K137" i="87"/>
  <c r="M137" i="87" s="1"/>
  <c r="N137" i="84"/>
  <c r="O137" i="84"/>
  <c r="K224" i="96"/>
  <c r="M224" i="96" s="1"/>
  <c r="N224" i="90"/>
  <c r="O224" i="90"/>
  <c r="K196" i="90"/>
  <c r="O203" i="87"/>
  <c r="N203" i="87"/>
  <c r="K75" i="90"/>
  <c r="M75" i="90" s="1"/>
  <c r="N75" i="87"/>
  <c r="O75" i="87"/>
  <c r="E9" i="97"/>
  <c r="C8" i="97"/>
  <c r="E8" i="97" s="1"/>
  <c r="K250" i="87"/>
  <c r="M250" i="87" s="1"/>
  <c r="Q250" i="84"/>
  <c r="N250" i="84"/>
  <c r="O250" i="84"/>
  <c r="K234" i="90"/>
  <c r="M234" i="90" s="1"/>
  <c r="O235" i="84"/>
  <c r="N235" i="84"/>
  <c r="K235" i="87"/>
  <c r="M235" i="87" s="1"/>
  <c r="J250" i="81"/>
  <c r="G250" i="84"/>
  <c r="I250" i="84" s="1"/>
  <c r="K144" i="90"/>
  <c r="M144" i="90" s="1"/>
  <c r="Q144" i="87"/>
  <c r="O144" i="87"/>
  <c r="N144" i="87"/>
  <c r="Q58" i="96"/>
  <c r="E16" i="91"/>
  <c r="E9" i="100"/>
  <c r="C8" i="100"/>
  <c r="J75" i="81"/>
  <c r="G75" i="84"/>
  <c r="I75" i="84" s="1"/>
  <c r="O58" i="99"/>
  <c r="Q58" i="99"/>
  <c r="N58" i="99"/>
  <c r="O158" i="87"/>
  <c r="N158" i="87"/>
  <c r="E16" i="97"/>
  <c r="C21" i="97"/>
  <c r="E21" i="97" s="1"/>
  <c r="E12" i="85"/>
  <c r="C16" i="85"/>
  <c r="C6" i="101"/>
  <c r="C6" i="98"/>
  <c r="C6" i="92"/>
  <c r="C6" i="89"/>
  <c r="C6" i="86"/>
  <c r="J124" i="81"/>
  <c r="G124" i="84"/>
  <c r="I124" i="84" s="1"/>
  <c r="G154" i="78"/>
  <c r="I154" i="78" s="1"/>
  <c r="K41" i="87"/>
  <c r="M41" i="87" s="1"/>
  <c r="N41" i="84"/>
  <c r="Q41" i="84"/>
  <c r="O41" i="84"/>
  <c r="K43" i="90"/>
  <c r="M43" i="90" s="1"/>
  <c r="N43" i="87"/>
  <c r="O43" i="87"/>
  <c r="C21" i="100"/>
  <c r="E21" i="100" s="1"/>
  <c r="E12" i="100"/>
  <c r="K73" i="90"/>
  <c r="M73" i="90" s="1"/>
  <c r="O73" i="87"/>
  <c r="N73" i="87"/>
  <c r="E16" i="100"/>
  <c r="E12" i="88"/>
  <c r="K213" i="87"/>
  <c r="M213" i="87" s="1"/>
  <c r="N213" i="84"/>
  <c r="Q213" i="84"/>
  <c r="O213" i="84"/>
  <c r="K18" i="99"/>
  <c r="M18" i="99" s="1"/>
  <c r="O18" i="96"/>
  <c r="N18" i="96"/>
  <c r="C14" i="98"/>
  <c r="E12" i="91"/>
  <c r="G160" i="78"/>
  <c r="I160" i="78" s="1"/>
  <c r="J160" i="78" s="1"/>
  <c r="K150" i="87"/>
  <c r="M150" i="87" s="1"/>
  <c r="N150" i="84"/>
  <c r="O150" i="84"/>
  <c r="E16" i="79"/>
  <c r="C21" i="79"/>
  <c r="E21" i="79" s="1"/>
  <c r="C14" i="101"/>
  <c r="C16" i="88"/>
  <c r="N30" i="11"/>
  <c r="C13" i="92"/>
  <c r="C13" i="89"/>
  <c r="C13" i="86"/>
  <c r="O217" i="84"/>
  <c r="K217" i="87"/>
  <c r="M217" i="87" s="1"/>
  <c r="N217" i="84"/>
  <c r="Q217" i="84"/>
  <c r="J41" i="84"/>
  <c r="G41" i="87"/>
  <c r="I41" i="87" s="1"/>
  <c r="E9" i="79"/>
  <c r="C8" i="79"/>
  <c r="E8" i="79" s="1"/>
  <c r="K232" i="90"/>
  <c r="M232" i="90" s="1"/>
  <c r="O233" i="87"/>
  <c r="N233" i="87"/>
  <c r="J225" i="84"/>
  <c r="G225" i="87"/>
  <c r="I225" i="87" s="1"/>
  <c r="Q225" i="84"/>
  <c r="K190" i="87"/>
  <c r="M190" i="87" s="1"/>
  <c r="N190" i="84"/>
  <c r="O190" i="84"/>
  <c r="J190" i="81"/>
  <c r="G190" i="84"/>
  <c r="N20" i="87"/>
  <c r="K20" i="90"/>
  <c r="M20" i="90" s="1"/>
  <c r="O20" i="87"/>
  <c r="E16" i="82"/>
  <c r="C21" i="82"/>
  <c r="E21" i="82" s="1"/>
  <c r="K122" i="90"/>
  <c r="M122" i="90" s="1"/>
  <c r="N122" i="87"/>
  <c r="O122" i="87"/>
  <c r="O87" i="99"/>
  <c r="Q87" i="99"/>
  <c r="N87" i="99"/>
  <c r="E9" i="82"/>
  <c r="C8" i="82"/>
  <c r="E8" i="82" s="1"/>
  <c r="I13" i="2"/>
  <c r="G69" i="78"/>
  <c r="I69" i="78" s="1"/>
  <c r="J137" i="81"/>
  <c r="G137" i="84"/>
  <c r="I137" i="84" s="1"/>
  <c r="K146" i="90"/>
  <c r="M146" i="90" s="1"/>
  <c r="O146" i="87"/>
  <c r="N146" i="87"/>
  <c r="Q146" i="87"/>
  <c r="K175" i="90"/>
  <c r="M175" i="90" s="1"/>
  <c r="N188" i="87"/>
  <c r="O188" i="87"/>
  <c r="G213" i="87"/>
  <c r="I213" i="87" s="1"/>
  <c r="J213" i="84"/>
  <c r="E9" i="85"/>
  <c r="C8" i="85"/>
  <c r="E8" i="85" s="1"/>
  <c r="C12" i="92"/>
  <c r="C14" i="92" s="1"/>
  <c r="C12" i="89"/>
  <c r="C14" i="89" s="1"/>
  <c r="C12" i="86"/>
  <c r="C14" i="86" s="1"/>
  <c r="G105" i="96"/>
  <c r="I105" i="96" s="1"/>
  <c r="G105" i="90"/>
  <c r="I105" i="90" s="1"/>
  <c r="Q105" i="90" s="1"/>
  <c r="K211" i="87"/>
  <c r="M211" i="87" s="1"/>
  <c r="N211" i="84"/>
  <c r="O211" i="84"/>
  <c r="M56" i="90"/>
  <c r="K56" i="96" s="1"/>
  <c r="K215" i="87"/>
  <c r="M215" i="87" s="1"/>
  <c r="O215" i="84"/>
  <c r="N215" i="84"/>
  <c r="J215" i="81"/>
  <c r="G215" i="84"/>
  <c r="I215" i="84" s="1"/>
  <c r="M124" i="90"/>
  <c r="K124" i="96" s="1"/>
  <c r="M124" i="96" s="1"/>
  <c r="J105" i="87"/>
  <c r="Q105" i="87"/>
  <c r="J105" i="90"/>
  <c r="N18" i="90"/>
  <c r="O18" i="90"/>
  <c r="J56" i="84"/>
  <c r="G56" i="87"/>
  <c r="O18" i="87"/>
  <c r="N18" i="87"/>
  <c r="N56" i="87"/>
  <c r="O56" i="87"/>
  <c r="N124" i="87"/>
  <c r="O124" i="87"/>
  <c r="N124" i="84"/>
  <c r="O124" i="84"/>
  <c r="Q124" i="84"/>
  <c r="N20" i="84"/>
  <c r="O20" i="84"/>
  <c r="O18" i="84"/>
  <c r="N18" i="84"/>
  <c r="Q56" i="84"/>
  <c r="Q75" i="81"/>
  <c r="C13" i="77"/>
  <c r="C13" i="83"/>
  <c r="C13" i="80"/>
  <c r="G19" i="2"/>
  <c r="G13" i="2"/>
  <c r="C6" i="77"/>
  <c r="C14" i="77" s="1"/>
  <c r="C6" i="83"/>
  <c r="C6" i="80"/>
  <c r="C14" i="80" s="1"/>
  <c r="C14" i="83"/>
  <c r="J19" i="2"/>
  <c r="G131" i="75"/>
  <c r="K82" i="75"/>
  <c r="M82" i="75" s="1"/>
  <c r="O82" i="75" s="1"/>
  <c r="I203" i="78"/>
  <c r="G199" i="78"/>
  <c r="G205" i="78"/>
  <c r="O250" i="81"/>
  <c r="N250" i="81"/>
  <c r="Q250" i="81"/>
  <c r="O213" i="81"/>
  <c r="Q213" i="81"/>
  <c r="N213" i="81"/>
  <c r="H10" i="79"/>
  <c r="O62" i="78"/>
  <c r="N62" i="78"/>
  <c r="I26" i="78"/>
  <c r="G28" i="78"/>
  <c r="I28" i="78" s="1"/>
  <c r="J28" i="78" s="1"/>
  <c r="G24" i="78"/>
  <c r="I24" i="78" s="1"/>
  <c r="J24" i="78" s="1"/>
  <c r="N186" i="81"/>
  <c r="Q186" i="81"/>
  <c r="O186" i="81"/>
  <c r="O135" i="78"/>
  <c r="N135" i="78"/>
  <c r="K135" i="81"/>
  <c r="O173" i="78"/>
  <c r="N173" i="78"/>
  <c r="O239" i="78"/>
  <c r="N239" i="78"/>
  <c r="M60" i="81"/>
  <c r="K60" i="84" s="1"/>
  <c r="K54" i="81"/>
  <c r="M54" i="81" s="1"/>
  <c r="K62" i="81"/>
  <c r="O105" i="81"/>
  <c r="N105" i="81"/>
  <c r="Q105" i="81"/>
  <c r="G188" i="81"/>
  <c r="I188" i="81" s="1"/>
  <c r="G188" i="84" s="1"/>
  <c r="I188" i="84" s="1"/>
  <c r="J188" i="78"/>
  <c r="Q188" i="78"/>
  <c r="N37" i="78"/>
  <c r="O37" i="78"/>
  <c r="K28" i="78"/>
  <c r="M28" i="78" s="1"/>
  <c r="N28" i="78" s="1"/>
  <c r="M26" i="78"/>
  <c r="K24" i="78"/>
  <c r="N85" i="78"/>
  <c r="O85" i="78"/>
  <c r="O91" i="78" s="1"/>
  <c r="K85" i="81"/>
  <c r="M231" i="78"/>
  <c r="K237" i="78"/>
  <c r="J164" i="75"/>
  <c r="G164" i="78"/>
  <c r="J18" i="78"/>
  <c r="G18" i="81"/>
  <c r="I18" i="81" s="1"/>
  <c r="J184" i="75"/>
  <c r="G184" i="78"/>
  <c r="K35" i="75"/>
  <c r="M35" i="75" s="1"/>
  <c r="Q91" i="75"/>
  <c r="K245" i="78"/>
  <c r="M245" i="78" s="1"/>
  <c r="K251" i="78"/>
  <c r="M247" i="78"/>
  <c r="K140" i="78"/>
  <c r="M140" i="78" s="1"/>
  <c r="K147" i="78"/>
  <c r="M147" i="78" s="1"/>
  <c r="M142" i="78"/>
  <c r="M192" i="75"/>
  <c r="N192" i="75" s="1"/>
  <c r="G235" i="81"/>
  <c r="I235" i="81" s="1"/>
  <c r="J235" i="78"/>
  <c r="G211" i="81"/>
  <c r="I211" i="81" s="1"/>
  <c r="J211" i="78"/>
  <c r="G147" i="78"/>
  <c r="I147" i="78" s="1"/>
  <c r="I142" i="78"/>
  <c r="G140" i="78"/>
  <c r="I140" i="78" s="1"/>
  <c r="J140" i="78" s="1"/>
  <c r="G148" i="78"/>
  <c r="I148" i="78" s="1"/>
  <c r="G152" i="78"/>
  <c r="I152" i="78" s="1"/>
  <c r="J152" i="78" s="1"/>
  <c r="I150" i="78"/>
  <c r="G150" i="84" s="1"/>
  <c r="M182" i="78"/>
  <c r="K180" i="78"/>
  <c r="M180" i="78" s="1"/>
  <c r="O52" i="78"/>
  <c r="N52" i="78"/>
  <c r="G139" i="78"/>
  <c r="I135" i="78"/>
  <c r="G133" i="78"/>
  <c r="K221" i="78"/>
  <c r="M221" i="78" s="1"/>
  <c r="M227" i="78"/>
  <c r="M139" i="78"/>
  <c r="N139" i="78" s="1"/>
  <c r="N215" i="81"/>
  <c r="O215" i="81"/>
  <c r="Q215" i="81"/>
  <c r="N150" i="81"/>
  <c r="O150" i="81"/>
  <c r="O171" i="78"/>
  <c r="K171" i="81"/>
  <c r="N171" i="78"/>
  <c r="K241" i="81"/>
  <c r="N241" i="78"/>
  <c r="O241" i="78"/>
  <c r="G122" i="81"/>
  <c r="I122" i="81" s="1"/>
  <c r="G122" i="84" s="1"/>
  <c r="I122" i="84" s="1"/>
  <c r="J122" i="78"/>
  <c r="Q122" i="78"/>
  <c r="Q54" i="78"/>
  <c r="J54" i="78"/>
  <c r="G89" i="81"/>
  <c r="I89" i="81" s="1"/>
  <c r="J89" i="78"/>
  <c r="G173" i="78"/>
  <c r="I173" i="78" s="1"/>
  <c r="J173" i="78" s="1"/>
  <c r="I171" i="78"/>
  <c r="Q171" i="78" s="1"/>
  <c r="G169" i="78"/>
  <c r="I169" i="78" s="1"/>
  <c r="I247" i="78"/>
  <c r="G251" i="78"/>
  <c r="N164" i="78"/>
  <c r="O164" i="78"/>
  <c r="K164" i="81"/>
  <c r="G233" i="81"/>
  <c r="I233" i="81" s="1"/>
  <c r="G233" i="84" s="1"/>
  <c r="I233" i="84" s="1"/>
  <c r="J233" i="78"/>
  <c r="Q233" i="78"/>
  <c r="J231" i="75"/>
  <c r="G231" i="78"/>
  <c r="K96" i="78"/>
  <c r="M96" i="78" s="1"/>
  <c r="M95" i="78"/>
  <c r="K93" i="78"/>
  <c r="M93" i="78" s="1"/>
  <c r="J16" i="75"/>
  <c r="G16" i="78"/>
  <c r="M71" i="78"/>
  <c r="K77" i="78"/>
  <c r="K160" i="78"/>
  <c r="K175" i="78" s="1"/>
  <c r="M175" i="78" s="1"/>
  <c r="M156" i="78"/>
  <c r="M120" i="78"/>
  <c r="K126" i="78"/>
  <c r="O211" i="81"/>
  <c r="N211" i="81"/>
  <c r="N217" i="81"/>
  <c r="Q217" i="81"/>
  <c r="O217" i="81"/>
  <c r="K184" i="81"/>
  <c r="O184" i="78"/>
  <c r="N184" i="78"/>
  <c r="Q154" i="78"/>
  <c r="J154" i="78"/>
  <c r="N41" i="81"/>
  <c r="O41" i="81"/>
  <c r="Q41" i="81"/>
  <c r="O190" i="81"/>
  <c r="N190" i="81"/>
  <c r="Q190" i="81"/>
  <c r="K223" i="81"/>
  <c r="N223" i="78"/>
  <c r="O223" i="78"/>
  <c r="Q223" i="78"/>
  <c r="G20" i="81"/>
  <c r="I20" i="81" s="1"/>
  <c r="J20" i="78"/>
  <c r="G221" i="78"/>
  <c r="I221" i="78" s="1"/>
  <c r="J221" i="78" s="1"/>
  <c r="I227" i="78"/>
  <c r="J227" i="78" s="1"/>
  <c r="N89" i="81"/>
  <c r="O89" i="81"/>
  <c r="O18" i="81"/>
  <c r="N18" i="81"/>
  <c r="O20" i="81"/>
  <c r="N20" i="81"/>
  <c r="Q137" i="81"/>
  <c r="O137" i="81"/>
  <c r="N137" i="81"/>
  <c r="G52" i="78"/>
  <c r="I52" i="78" s="1"/>
  <c r="J52" i="78" s="1"/>
  <c r="I62" i="78"/>
  <c r="Q62" i="78" s="1"/>
  <c r="K47" i="78"/>
  <c r="K35" i="78"/>
  <c r="M35" i="78" s="1"/>
  <c r="M45" i="78"/>
  <c r="N166" i="78"/>
  <c r="O166" i="78"/>
  <c r="K199" i="78"/>
  <c r="K205" i="78"/>
  <c r="M201" i="78"/>
  <c r="K219" i="78"/>
  <c r="M219" i="78" s="1"/>
  <c r="M209" i="78"/>
  <c r="K207" i="78"/>
  <c r="M207" i="78" s="1"/>
  <c r="J85" i="75"/>
  <c r="G85" i="78"/>
  <c r="J95" i="75"/>
  <c r="G95" i="78"/>
  <c r="J158" i="78"/>
  <c r="G158" i="81"/>
  <c r="I158" i="81" s="1"/>
  <c r="G158" i="84" s="1"/>
  <c r="I158" i="84" s="1"/>
  <c r="Q158" i="78"/>
  <c r="J209" i="75"/>
  <c r="G209" i="78"/>
  <c r="I133" i="75"/>
  <c r="J133" i="75" s="1"/>
  <c r="K131" i="75"/>
  <c r="J43" i="78"/>
  <c r="G43" i="81"/>
  <c r="I43" i="81" s="1"/>
  <c r="G43" i="84" s="1"/>
  <c r="I43" i="84" s="1"/>
  <c r="Q43" i="78"/>
  <c r="G243" i="78"/>
  <c r="I243" i="78" s="1"/>
  <c r="J243" i="78" s="1"/>
  <c r="I241" i="78"/>
  <c r="G239" i="78"/>
  <c r="I239" i="78" s="1"/>
  <c r="J239" i="78" s="1"/>
  <c r="G73" i="81"/>
  <c r="I73" i="81" s="1"/>
  <c r="G73" i="84" s="1"/>
  <c r="I73" i="84" s="1"/>
  <c r="J73" i="78"/>
  <c r="Q73" i="78"/>
  <c r="H18" i="79"/>
  <c r="O192" i="78"/>
  <c r="N192" i="78"/>
  <c r="J225" i="81"/>
  <c r="Q225" i="81"/>
  <c r="O235" i="81"/>
  <c r="N235" i="81"/>
  <c r="I156" i="81"/>
  <c r="G156" i="84" s="1"/>
  <c r="G77" i="78"/>
  <c r="I71" i="78"/>
  <c r="M133" i="78"/>
  <c r="O169" i="78"/>
  <c r="N169" i="78"/>
  <c r="N243" i="78"/>
  <c r="O243" i="78"/>
  <c r="J223" i="78"/>
  <c r="G223" i="81"/>
  <c r="Q18" i="78"/>
  <c r="Q20" i="78"/>
  <c r="G37" i="78"/>
  <c r="I37" i="78" s="1"/>
  <c r="J37" i="78" s="1"/>
  <c r="G45" i="78"/>
  <c r="I39" i="78"/>
  <c r="Q39" i="78" s="1"/>
  <c r="G60" i="81"/>
  <c r="J60" i="78"/>
  <c r="Q124" i="81"/>
  <c r="O124" i="81"/>
  <c r="N124" i="81"/>
  <c r="K39" i="81"/>
  <c r="N39" i="78"/>
  <c r="O39" i="78"/>
  <c r="K83" i="78"/>
  <c r="M91" i="78"/>
  <c r="I120" i="78"/>
  <c r="G126" i="78"/>
  <c r="N162" i="78"/>
  <c r="O162" i="78"/>
  <c r="Q357" i="11"/>
  <c r="Q54" i="75"/>
  <c r="O198" i="11"/>
  <c r="J10" i="2"/>
  <c r="Q198" i="11"/>
  <c r="Q176" i="11"/>
  <c r="C16" i="76"/>
  <c r="E16" i="76" s="1"/>
  <c r="N256" i="11"/>
  <c r="J203" i="75"/>
  <c r="Q203" i="75"/>
  <c r="O24" i="75"/>
  <c r="N24" i="75"/>
  <c r="N221" i="75"/>
  <c r="O221" i="75"/>
  <c r="J233" i="75"/>
  <c r="Q233" i="75"/>
  <c r="M199" i="75"/>
  <c r="G237" i="75"/>
  <c r="O45" i="75"/>
  <c r="M47" i="75"/>
  <c r="N45" i="75"/>
  <c r="Q45" i="75"/>
  <c r="N93" i="75"/>
  <c r="Q93" i="75"/>
  <c r="O93" i="75"/>
  <c r="O52" i="75"/>
  <c r="N52" i="75"/>
  <c r="F17" i="76"/>
  <c r="J126" i="75"/>
  <c r="O209" i="75"/>
  <c r="N209" i="75"/>
  <c r="Q209" i="75"/>
  <c r="O230" i="11"/>
  <c r="N230" i="11"/>
  <c r="J230" i="11"/>
  <c r="O156" i="75"/>
  <c r="Q156" i="75"/>
  <c r="O133" i="75"/>
  <c r="N133" i="75"/>
  <c r="N120" i="75"/>
  <c r="O120" i="75"/>
  <c r="Q120" i="75"/>
  <c r="K175" i="75"/>
  <c r="M175" i="75" s="1"/>
  <c r="M147" i="75"/>
  <c r="Q164" i="75"/>
  <c r="N231" i="75"/>
  <c r="O231" i="75"/>
  <c r="Q231" i="75"/>
  <c r="Q35" i="75"/>
  <c r="J35" i="75"/>
  <c r="I77" i="75"/>
  <c r="G67" i="75"/>
  <c r="I67" i="75" s="1"/>
  <c r="J67" i="75" s="1"/>
  <c r="G166" i="75"/>
  <c r="I162" i="75"/>
  <c r="J162" i="75" s="1"/>
  <c r="O83" i="75"/>
  <c r="N83" i="75"/>
  <c r="Q18" i="75"/>
  <c r="J18" i="75"/>
  <c r="F18" i="76"/>
  <c r="J192" i="75"/>
  <c r="Q201" i="75"/>
  <c r="N201" i="75"/>
  <c r="O201" i="75"/>
  <c r="N35" i="75"/>
  <c r="O35" i="75"/>
  <c r="M182" i="75"/>
  <c r="K180" i="75"/>
  <c r="M180" i="75" s="1"/>
  <c r="J158" i="75"/>
  <c r="Q158" i="75"/>
  <c r="N245" i="75"/>
  <c r="O245" i="75"/>
  <c r="Q245" i="75"/>
  <c r="I131" i="75"/>
  <c r="J131" i="75" s="1"/>
  <c r="G15" i="2"/>
  <c r="K229" i="75"/>
  <c r="M229" i="75" s="1"/>
  <c r="M237" i="75"/>
  <c r="F11" i="76"/>
  <c r="J47" i="75"/>
  <c r="N82" i="75"/>
  <c r="I14" i="75"/>
  <c r="J14" i="75" s="1"/>
  <c r="G12" i="75"/>
  <c r="O98" i="11"/>
  <c r="F96" i="11"/>
  <c r="I182" i="75"/>
  <c r="J182" i="75" s="1"/>
  <c r="G180" i="75"/>
  <c r="I180" i="75" s="1"/>
  <c r="J180" i="75" s="1"/>
  <c r="Q47" i="11"/>
  <c r="H11" i="2"/>
  <c r="N95" i="75"/>
  <c r="O95" i="75"/>
  <c r="Q95" i="75"/>
  <c r="M77" i="75"/>
  <c r="K67" i="75"/>
  <c r="M67" i="75" s="1"/>
  <c r="O12" i="11"/>
  <c r="J154" i="75"/>
  <c r="Q154" i="75"/>
  <c r="Q140" i="75"/>
  <c r="N140" i="75"/>
  <c r="O140" i="75"/>
  <c r="N12" i="11"/>
  <c r="J256" i="11"/>
  <c r="K98" i="75"/>
  <c r="M98" i="75" s="1"/>
  <c r="O227" i="75"/>
  <c r="N227" i="75"/>
  <c r="M205" i="75"/>
  <c r="N96" i="75"/>
  <c r="O96" i="75"/>
  <c r="H10" i="76"/>
  <c r="O62" i="75"/>
  <c r="N62" i="75"/>
  <c r="K219" i="75"/>
  <c r="M219" i="75" s="1"/>
  <c r="M207" i="75"/>
  <c r="G98" i="75"/>
  <c r="G82" i="75"/>
  <c r="I82" i="75" s="1"/>
  <c r="I83" i="75"/>
  <c r="N71" i="75"/>
  <c r="O71" i="75"/>
  <c r="Q71" i="75"/>
  <c r="M131" i="75"/>
  <c r="E11" i="76"/>
  <c r="C8" i="76"/>
  <c r="K118" i="75"/>
  <c r="M118" i="75" s="1"/>
  <c r="M126" i="75"/>
  <c r="G52" i="75"/>
  <c r="I52" i="75" s="1"/>
  <c r="J52" i="75" s="1"/>
  <c r="I62" i="75"/>
  <c r="Q62" i="75" s="1"/>
  <c r="N247" i="75"/>
  <c r="O247" i="75"/>
  <c r="Q247" i="75"/>
  <c r="M251" i="75"/>
  <c r="N142" i="75"/>
  <c r="Q142" i="75"/>
  <c r="O142" i="75"/>
  <c r="Q85" i="75"/>
  <c r="J227" i="75"/>
  <c r="Q227" i="75"/>
  <c r="J17" i="2"/>
  <c r="I17" i="2"/>
  <c r="G10" i="2"/>
  <c r="I12" i="2"/>
  <c r="I221" i="75"/>
  <c r="M462" i="11"/>
  <c r="J12" i="2"/>
  <c r="D7" i="71"/>
  <c r="F12" i="2"/>
  <c r="G12" i="2" s="1"/>
  <c r="J67" i="11"/>
  <c r="N67" i="11"/>
  <c r="J131" i="11"/>
  <c r="N131" i="11"/>
  <c r="C13" i="71"/>
  <c r="E20" i="2"/>
  <c r="C16" i="2"/>
  <c r="J176" i="11"/>
  <c r="N176" i="11"/>
  <c r="O176" i="11"/>
  <c r="J47" i="11"/>
  <c r="N47" i="11"/>
  <c r="O47" i="11"/>
  <c r="F462" i="11"/>
  <c r="E11" i="2"/>
  <c r="C6" i="71"/>
  <c r="C8" i="2"/>
  <c r="I462" i="11"/>
  <c r="F9" i="2"/>
  <c r="Q30" i="11"/>
  <c r="J20" i="81" l="1"/>
  <c r="G20" i="84"/>
  <c r="I20" i="84" s="1"/>
  <c r="G233" i="87"/>
  <c r="I233" i="87" s="1"/>
  <c r="J233" i="84"/>
  <c r="Q233" i="84"/>
  <c r="K146" i="96"/>
  <c r="M146" i="96" s="1"/>
  <c r="O146" i="90"/>
  <c r="Q146" i="90"/>
  <c r="N146" i="90"/>
  <c r="G41" i="90"/>
  <c r="I41" i="90" s="1"/>
  <c r="J41" i="87"/>
  <c r="K43" i="96"/>
  <c r="M43" i="96" s="1"/>
  <c r="N43" i="90"/>
  <c r="O43" i="90"/>
  <c r="G186" i="87"/>
  <c r="I186" i="87" s="1"/>
  <c r="J186" i="84"/>
  <c r="I150" i="84"/>
  <c r="G152" i="84"/>
  <c r="I152" i="84" s="1"/>
  <c r="J152" i="84" s="1"/>
  <c r="G148" i="84"/>
  <c r="I148" i="84" s="1"/>
  <c r="C21" i="85"/>
  <c r="E21" i="85" s="1"/>
  <c r="E16" i="85"/>
  <c r="M196" i="90"/>
  <c r="J188" i="84"/>
  <c r="G188" i="87"/>
  <c r="I188" i="87" s="1"/>
  <c r="Q188" i="84"/>
  <c r="J137" i="84"/>
  <c r="G137" i="87"/>
  <c r="I137" i="87" s="1"/>
  <c r="K122" i="96"/>
  <c r="M122" i="96" s="1"/>
  <c r="O122" i="90"/>
  <c r="N122" i="90"/>
  <c r="K177" i="90"/>
  <c r="M177" i="90" s="1"/>
  <c r="O190" i="87"/>
  <c r="N190" i="87"/>
  <c r="K144" i="96"/>
  <c r="M144" i="96" s="1"/>
  <c r="N144" i="90"/>
  <c r="O144" i="90"/>
  <c r="Q144" i="90"/>
  <c r="K248" i="90"/>
  <c r="M248" i="90" s="1"/>
  <c r="O250" i="87"/>
  <c r="Q250" i="87"/>
  <c r="N250" i="87"/>
  <c r="J122" i="84"/>
  <c r="G122" i="87"/>
  <c r="I122" i="87" s="1"/>
  <c r="Q122" i="84"/>
  <c r="N18" i="99"/>
  <c r="O18" i="99"/>
  <c r="M56" i="96"/>
  <c r="G206" i="90"/>
  <c r="I206" i="90" s="1"/>
  <c r="J213" i="87"/>
  <c r="Q69" i="78"/>
  <c r="J69" i="78"/>
  <c r="G224" i="90"/>
  <c r="I224" i="90" s="1"/>
  <c r="J225" i="87"/>
  <c r="Q225" i="87"/>
  <c r="N217" i="87"/>
  <c r="K210" i="90"/>
  <c r="M210" i="90" s="1"/>
  <c r="O217" i="87"/>
  <c r="K73" i="96"/>
  <c r="M73" i="96" s="1"/>
  <c r="O73" i="90"/>
  <c r="N73" i="90"/>
  <c r="K41" i="90"/>
  <c r="M41" i="90" s="1"/>
  <c r="N41" i="87"/>
  <c r="O41" i="87"/>
  <c r="Q41" i="87"/>
  <c r="J75" i="84"/>
  <c r="G75" i="87"/>
  <c r="I75" i="87" s="1"/>
  <c r="Q75" i="84"/>
  <c r="G250" i="87"/>
  <c r="I250" i="87" s="1"/>
  <c r="J250" i="84"/>
  <c r="J73" i="84"/>
  <c r="G73" i="87"/>
  <c r="I73" i="87" s="1"/>
  <c r="Q73" i="84"/>
  <c r="J158" i="84"/>
  <c r="G158" i="87"/>
  <c r="I158" i="87" s="1"/>
  <c r="Q158" i="84"/>
  <c r="K89" i="90"/>
  <c r="M89" i="90" s="1"/>
  <c r="O89" i="87"/>
  <c r="N89" i="87"/>
  <c r="G155" i="99"/>
  <c r="I155" i="99" s="1"/>
  <c r="J155" i="99" s="1"/>
  <c r="G155" i="96"/>
  <c r="I155" i="96" s="1"/>
  <c r="J155" i="96" s="1"/>
  <c r="G155" i="90"/>
  <c r="I155" i="90" s="1"/>
  <c r="J155" i="90" s="1"/>
  <c r="G169" i="87"/>
  <c r="I169" i="87" s="1"/>
  <c r="J169" i="87" s="1"/>
  <c r="G169" i="84"/>
  <c r="I169" i="84" s="1"/>
  <c r="J169" i="84" s="1"/>
  <c r="N150" i="87"/>
  <c r="O150" i="87"/>
  <c r="G124" i="87"/>
  <c r="I124" i="87" s="1"/>
  <c r="J124" i="84"/>
  <c r="E8" i="100"/>
  <c r="N235" i="87"/>
  <c r="O235" i="87"/>
  <c r="G217" i="87"/>
  <c r="I217" i="87" s="1"/>
  <c r="J217" i="84"/>
  <c r="I156" i="84"/>
  <c r="G156" i="87" s="1"/>
  <c r="G154" i="84"/>
  <c r="I154" i="84" s="1"/>
  <c r="G160" i="84"/>
  <c r="I160" i="84" s="1"/>
  <c r="J160" i="84" s="1"/>
  <c r="K20" i="96"/>
  <c r="M20" i="96" s="1"/>
  <c r="O20" i="90"/>
  <c r="N20" i="90"/>
  <c r="K206" i="90"/>
  <c r="M206" i="90" s="1"/>
  <c r="N213" i="87"/>
  <c r="O213" i="87"/>
  <c r="Q213" i="87"/>
  <c r="N224" i="96"/>
  <c r="K224" i="99"/>
  <c r="M224" i="99" s="1"/>
  <c r="O224" i="96"/>
  <c r="K175" i="96"/>
  <c r="M175" i="96" s="1"/>
  <c r="O175" i="90"/>
  <c r="N175" i="90"/>
  <c r="K75" i="96"/>
  <c r="M75" i="96" s="1"/>
  <c r="N75" i="90"/>
  <c r="O75" i="90"/>
  <c r="Q133" i="75"/>
  <c r="I190" i="84"/>
  <c r="K232" i="96"/>
  <c r="M232" i="96" s="1"/>
  <c r="N232" i="90"/>
  <c r="O232" i="90"/>
  <c r="C21" i="91"/>
  <c r="E21" i="91" s="1"/>
  <c r="J43" i="84"/>
  <c r="G43" i="87"/>
  <c r="I43" i="87" s="1"/>
  <c r="Q43" i="84"/>
  <c r="J89" i="81"/>
  <c r="G89" i="84"/>
  <c r="I89" i="84" s="1"/>
  <c r="J235" i="81"/>
  <c r="G235" i="84"/>
  <c r="I235" i="84" s="1"/>
  <c r="N124" i="96"/>
  <c r="K124" i="99"/>
  <c r="M124" i="99" s="1"/>
  <c r="O124" i="96"/>
  <c r="E16" i="88"/>
  <c r="C21" i="88"/>
  <c r="E21" i="88" s="1"/>
  <c r="K234" i="96"/>
  <c r="M234" i="96" s="1"/>
  <c r="O234" i="90"/>
  <c r="N234" i="90"/>
  <c r="Q137" i="84"/>
  <c r="Q186" i="84"/>
  <c r="Q243" i="78"/>
  <c r="K137" i="90"/>
  <c r="O137" i="87"/>
  <c r="N137" i="87"/>
  <c r="Q137" i="87"/>
  <c r="K173" i="90"/>
  <c r="M173" i="90" s="1"/>
  <c r="Q186" i="87"/>
  <c r="O186" i="87"/>
  <c r="N186" i="87"/>
  <c r="J105" i="96"/>
  <c r="G105" i="99"/>
  <c r="I105" i="99" s="1"/>
  <c r="Q105" i="96"/>
  <c r="K204" i="90"/>
  <c r="M204" i="90" s="1"/>
  <c r="K204" i="96" s="1"/>
  <c r="M204" i="96" s="1"/>
  <c r="N211" i="87"/>
  <c r="O211" i="87"/>
  <c r="J211" i="81"/>
  <c r="G211" i="84"/>
  <c r="I211" i="84" s="1"/>
  <c r="N56" i="90"/>
  <c r="O56" i="90"/>
  <c r="K208" i="90"/>
  <c r="O215" i="87"/>
  <c r="N215" i="87"/>
  <c r="G215" i="87"/>
  <c r="I215" i="87" s="1"/>
  <c r="J215" i="84"/>
  <c r="Q215" i="84"/>
  <c r="N124" i="90"/>
  <c r="O124" i="90"/>
  <c r="I56" i="87"/>
  <c r="G56" i="90" s="1"/>
  <c r="I56" i="90" s="1"/>
  <c r="G56" i="96" s="1"/>
  <c r="J18" i="81"/>
  <c r="G18" i="84"/>
  <c r="I18" i="84" s="1"/>
  <c r="M60" i="84"/>
  <c r="K60" i="87" s="1"/>
  <c r="K54" i="84"/>
  <c r="M54" i="84" s="1"/>
  <c r="K62" i="84"/>
  <c r="Q20" i="81"/>
  <c r="Q211" i="81"/>
  <c r="G160" i="81"/>
  <c r="I160" i="81" s="1"/>
  <c r="J160" i="81" s="1"/>
  <c r="Q18" i="81"/>
  <c r="Q235" i="81"/>
  <c r="I126" i="78"/>
  <c r="G118" i="78"/>
  <c r="I118" i="78" s="1"/>
  <c r="J118" i="78" s="1"/>
  <c r="I60" i="81"/>
  <c r="G62" i="81"/>
  <c r="G54" i="81"/>
  <c r="I54" i="81" s="1"/>
  <c r="J54" i="81" s="1"/>
  <c r="G71" i="81"/>
  <c r="J71" i="78"/>
  <c r="J73" i="81"/>
  <c r="Q73" i="81"/>
  <c r="J158" i="81"/>
  <c r="Q158" i="81"/>
  <c r="I85" i="78"/>
  <c r="G91" i="78"/>
  <c r="O219" i="78"/>
  <c r="N219" i="78"/>
  <c r="N35" i="78"/>
  <c r="O35" i="78"/>
  <c r="K156" i="81"/>
  <c r="O156" i="78"/>
  <c r="Q156" i="78"/>
  <c r="G22" i="78"/>
  <c r="I22" i="78" s="1"/>
  <c r="J22" i="78" s="1"/>
  <c r="G14" i="78"/>
  <c r="I16" i="78"/>
  <c r="O96" i="78"/>
  <c r="O83" i="78" s="1"/>
  <c r="N96" i="78"/>
  <c r="J169" i="78"/>
  <c r="G169" i="81"/>
  <c r="I169" i="81" s="1"/>
  <c r="J169" i="81" s="1"/>
  <c r="H20" i="79"/>
  <c r="O175" i="78"/>
  <c r="N175" i="78"/>
  <c r="G131" i="78"/>
  <c r="I131" i="78" s="1"/>
  <c r="J131" i="78" s="1"/>
  <c r="I133" i="78"/>
  <c r="J133" i="78" s="1"/>
  <c r="J150" i="78"/>
  <c r="G150" i="81"/>
  <c r="Q150" i="78"/>
  <c r="J142" i="78"/>
  <c r="G142" i="81"/>
  <c r="K142" i="81"/>
  <c r="O142" i="78"/>
  <c r="N142" i="78"/>
  <c r="Q142" i="78"/>
  <c r="I184" i="78"/>
  <c r="G182" i="78"/>
  <c r="G192" i="78"/>
  <c r="I192" i="78" s="1"/>
  <c r="G166" i="78"/>
  <c r="I166" i="78" s="1"/>
  <c r="G162" i="78"/>
  <c r="I162" i="78" s="1"/>
  <c r="I164" i="78"/>
  <c r="M85" i="81"/>
  <c r="K85" i="84" s="1"/>
  <c r="K91" i="81"/>
  <c r="J188" i="81"/>
  <c r="Q188" i="81"/>
  <c r="K52" i="81"/>
  <c r="M52" i="81" s="1"/>
  <c r="M62" i="81"/>
  <c r="Q192" i="75"/>
  <c r="G120" i="81"/>
  <c r="J120" i="78"/>
  <c r="J39" i="78"/>
  <c r="G39" i="81"/>
  <c r="G67" i="78"/>
  <c r="I67" i="78" s="1"/>
  <c r="J67" i="78" s="1"/>
  <c r="I77" i="78"/>
  <c r="E11" i="80"/>
  <c r="I18" i="79"/>
  <c r="J18" i="79"/>
  <c r="J43" i="81"/>
  <c r="Q43" i="81"/>
  <c r="I209" i="78"/>
  <c r="G219" i="78"/>
  <c r="I219" i="78" s="1"/>
  <c r="J219" i="78" s="1"/>
  <c r="G207" i="78"/>
  <c r="I207" i="78" s="1"/>
  <c r="J207" i="78" s="1"/>
  <c r="K201" i="81"/>
  <c r="O201" i="78"/>
  <c r="Q201" i="78"/>
  <c r="N201" i="78"/>
  <c r="Q89" i="81"/>
  <c r="I231" i="78"/>
  <c r="G237" i="78"/>
  <c r="J233" i="81"/>
  <c r="Q233" i="81"/>
  <c r="G171" i="81"/>
  <c r="J171" i="78"/>
  <c r="J122" i="81"/>
  <c r="Q122" i="81"/>
  <c r="K239" i="81"/>
  <c r="M239" i="81" s="1"/>
  <c r="K243" i="81"/>
  <c r="M243" i="81" s="1"/>
  <c r="M241" i="81"/>
  <c r="K241" i="84" s="1"/>
  <c r="J135" i="78"/>
  <c r="G135" i="81"/>
  <c r="N147" i="78"/>
  <c r="O147" i="78"/>
  <c r="O245" i="78"/>
  <c r="N245" i="78"/>
  <c r="O26" i="78"/>
  <c r="K26" i="81"/>
  <c r="M24" i="78"/>
  <c r="Q26" i="78"/>
  <c r="N26" i="78"/>
  <c r="N54" i="81"/>
  <c r="O54" i="81"/>
  <c r="Q135" i="78"/>
  <c r="I205" i="78"/>
  <c r="J205" i="78" s="1"/>
  <c r="N91" i="78"/>
  <c r="G35" i="78"/>
  <c r="I35" i="78" s="1"/>
  <c r="J35" i="78" s="1"/>
  <c r="I45" i="78"/>
  <c r="J45" i="78" s="1"/>
  <c r="G47" i="78"/>
  <c r="I47" i="78" s="1"/>
  <c r="I223" i="81"/>
  <c r="G227" i="81"/>
  <c r="O133" i="78"/>
  <c r="N133" i="78"/>
  <c r="J241" i="78"/>
  <c r="G241" i="81"/>
  <c r="G96" i="78"/>
  <c r="I96" i="78" s="1"/>
  <c r="J96" i="78" s="1"/>
  <c r="I95" i="78"/>
  <c r="Q95" i="78" s="1"/>
  <c r="G93" i="78"/>
  <c r="Q207" i="78"/>
  <c r="O207" i="78"/>
  <c r="N207" i="78"/>
  <c r="M205" i="78"/>
  <c r="K254" i="78"/>
  <c r="M254" i="78" s="1"/>
  <c r="J62" i="78"/>
  <c r="F10" i="79"/>
  <c r="M126" i="78"/>
  <c r="K118" i="78"/>
  <c r="M118" i="78" s="1"/>
  <c r="M77" i="78"/>
  <c r="K67" i="78"/>
  <c r="M67" i="78" s="1"/>
  <c r="N93" i="78"/>
  <c r="O93" i="78"/>
  <c r="K162" i="81"/>
  <c r="M162" i="81" s="1"/>
  <c r="K166" i="81"/>
  <c r="M166" i="81" s="1"/>
  <c r="M164" i="81"/>
  <c r="K164" i="84" s="1"/>
  <c r="I251" i="78"/>
  <c r="J251" i="78" s="1"/>
  <c r="G245" i="78"/>
  <c r="I245" i="78" s="1"/>
  <c r="J245" i="78" s="1"/>
  <c r="Q241" i="78"/>
  <c r="O227" i="78"/>
  <c r="Q227" i="78"/>
  <c r="N227" i="78"/>
  <c r="I139" i="78"/>
  <c r="G175" i="78"/>
  <c r="N180" i="78"/>
  <c r="O180" i="78"/>
  <c r="J148" i="78"/>
  <c r="Q148" i="78"/>
  <c r="O140" i="78"/>
  <c r="N140" i="78"/>
  <c r="Q140" i="78"/>
  <c r="M237" i="78"/>
  <c r="K229" i="78"/>
  <c r="M229" i="78" s="1"/>
  <c r="N60" i="81"/>
  <c r="O60" i="81"/>
  <c r="Q173" i="78"/>
  <c r="K139" i="81"/>
  <c r="K133" i="81"/>
  <c r="M135" i="81"/>
  <c r="K135" i="84" s="1"/>
  <c r="J26" i="78"/>
  <c r="G26" i="81"/>
  <c r="J10" i="79"/>
  <c r="E5" i="80"/>
  <c r="I10" i="79"/>
  <c r="I199" i="78"/>
  <c r="J199" i="78" s="1"/>
  <c r="O192" i="75"/>
  <c r="K82" i="78"/>
  <c r="M82" i="78" s="1"/>
  <c r="K98" i="78"/>
  <c r="M98" i="78" s="1"/>
  <c r="M83" i="78"/>
  <c r="M39" i="81"/>
  <c r="K39" i="84" s="1"/>
  <c r="K45" i="81"/>
  <c r="K37" i="81"/>
  <c r="M37" i="81" s="1"/>
  <c r="Q169" i="78"/>
  <c r="K131" i="78"/>
  <c r="M131" i="78" s="1"/>
  <c r="G154" i="81"/>
  <c r="I154" i="81" s="1"/>
  <c r="K209" i="81"/>
  <c r="O209" i="78"/>
  <c r="Q209" i="78"/>
  <c r="N209" i="78"/>
  <c r="M199" i="78"/>
  <c r="N45" i="78"/>
  <c r="O45" i="78"/>
  <c r="M47" i="78"/>
  <c r="M223" i="81"/>
  <c r="K223" i="84" s="1"/>
  <c r="K227" i="81"/>
  <c r="K182" i="81"/>
  <c r="M184" i="81"/>
  <c r="K184" i="84" s="1"/>
  <c r="K192" i="81"/>
  <c r="M192" i="81" s="1"/>
  <c r="N120" i="78"/>
  <c r="Q120" i="78"/>
  <c r="K120" i="81"/>
  <c r="O120" i="78"/>
  <c r="K71" i="81"/>
  <c r="O71" i="78"/>
  <c r="N71" i="78"/>
  <c r="Q71" i="78"/>
  <c r="K95" i="81"/>
  <c r="O95" i="78"/>
  <c r="N95" i="78"/>
  <c r="G248" i="81"/>
  <c r="J247" i="78"/>
  <c r="M171" i="81"/>
  <c r="K171" i="84" s="1"/>
  <c r="K169" i="81"/>
  <c r="M169" i="81" s="1"/>
  <c r="K173" i="81"/>
  <c r="M173" i="81" s="1"/>
  <c r="O221" i="78"/>
  <c r="N221" i="78"/>
  <c r="Q221" i="78"/>
  <c r="Q52" i="78"/>
  <c r="O182" i="78"/>
  <c r="N182" i="78"/>
  <c r="H18" i="76"/>
  <c r="O247" i="78"/>
  <c r="K248" i="81"/>
  <c r="Q247" i="78"/>
  <c r="N247" i="78"/>
  <c r="M251" i="78"/>
  <c r="K231" i="81"/>
  <c r="N231" i="78"/>
  <c r="O231" i="78"/>
  <c r="Q231" i="78"/>
  <c r="Q37" i="78"/>
  <c r="Q239" i="78"/>
  <c r="G203" i="81"/>
  <c r="J203" i="78"/>
  <c r="Q203" i="78"/>
  <c r="O462" i="11"/>
  <c r="C21" i="76"/>
  <c r="E21" i="76" s="1"/>
  <c r="N131" i="75"/>
  <c r="O131" i="75"/>
  <c r="Q131" i="75"/>
  <c r="Q83" i="75"/>
  <c r="I98" i="75"/>
  <c r="Q98" i="75" s="1"/>
  <c r="J83" i="75"/>
  <c r="N219" i="75"/>
  <c r="Q219" i="75"/>
  <c r="O219" i="75"/>
  <c r="K254" i="75"/>
  <c r="M254" i="75" s="1"/>
  <c r="H13" i="76"/>
  <c r="N98" i="75"/>
  <c r="O98" i="75"/>
  <c r="G11" i="76"/>
  <c r="D6" i="77"/>
  <c r="Q182" i="75"/>
  <c r="O182" i="75"/>
  <c r="N182" i="75"/>
  <c r="N118" i="75"/>
  <c r="Q118" i="75"/>
  <c r="O118" i="75"/>
  <c r="Q82" i="75"/>
  <c r="J82" i="75"/>
  <c r="E5" i="77"/>
  <c r="I10" i="76"/>
  <c r="J10" i="76"/>
  <c r="Q205" i="75"/>
  <c r="N205" i="75"/>
  <c r="O205" i="75"/>
  <c r="O67" i="75"/>
  <c r="Q67" i="75"/>
  <c r="N67" i="75"/>
  <c r="N96" i="11"/>
  <c r="O96" i="11"/>
  <c r="J96" i="11"/>
  <c r="O237" i="75"/>
  <c r="N237" i="75"/>
  <c r="D11" i="77"/>
  <c r="G18" i="76"/>
  <c r="J77" i="75"/>
  <c r="F14" i="76"/>
  <c r="N147" i="75"/>
  <c r="O147" i="75"/>
  <c r="G229" i="75"/>
  <c r="I237" i="75"/>
  <c r="J237" i="75" s="1"/>
  <c r="G254" i="75"/>
  <c r="I254" i="75" s="1"/>
  <c r="F19" i="76" s="1"/>
  <c r="H17" i="76"/>
  <c r="Q126" i="75"/>
  <c r="O126" i="75"/>
  <c r="Q251" i="75"/>
  <c r="O251" i="75"/>
  <c r="N251" i="75"/>
  <c r="F10" i="76"/>
  <c r="J62" i="75"/>
  <c r="E8" i="76"/>
  <c r="O77" i="75"/>
  <c r="N77" i="75"/>
  <c r="H14" i="76"/>
  <c r="Q77" i="75"/>
  <c r="N229" i="75"/>
  <c r="O229" i="75"/>
  <c r="H20" i="76"/>
  <c r="O175" i="75"/>
  <c r="N175" i="75"/>
  <c r="D10" i="77"/>
  <c r="G17" i="76"/>
  <c r="K197" i="75"/>
  <c r="M197" i="75" s="1"/>
  <c r="Q207" i="75"/>
  <c r="O207" i="75"/>
  <c r="N207" i="75"/>
  <c r="E6" i="71"/>
  <c r="H8" i="2"/>
  <c r="H21" i="2" s="1"/>
  <c r="G30" i="75"/>
  <c r="I12" i="75"/>
  <c r="J12" i="75" s="1"/>
  <c r="O180" i="75"/>
  <c r="N180" i="75"/>
  <c r="Q180" i="75"/>
  <c r="I166" i="75"/>
  <c r="G175" i="75"/>
  <c r="Q52" i="75"/>
  <c r="N47" i="75"/>
  <c r="O47" i="75"/>
  <c r="Q47" i="75"/>
  <c r="H11" i="76"/>
  <c r="O199" i="75"/>
  <c r="N199" i="75"/>
  <c r="Q199" i="75"/>
  <c r="C14" i="71"/>
  <c r="J221" i="75"/>
  <c r="Q221" i="75"/>
  <c r="Q462" i="11"/>
  <c r="N462" i="11"/>
  <c r="J16" i="2"/>
  <c r="E16" i="2"/>
  <c r="J20" i="2"/>
  <c r="I20" i="2"/>
  <c r="G20" i="2"/>
  <c r="J462" i="11"/>
  <c r="E8" i="2"/>
  <c r="C21" i="2"/>
  <c r="E21" i="2" s="1"/>
  <c r="G11" i="2"/>
  <c r="J11" i="2"/>
  <c r="I11" i="2"/>
  <c r="D4" i="71"/>
  <c r="F8" i="2"/>
  <c r="G9" i="2"/>
  <c r="M135" i="84" l="1"/>
  <c r="K133" i="84"/>
  <c r="K139" i="84"/>
  <c r="J223" i="81"/>
  <c r="G223" i="84"/>
  <c r="G235" i="87"/>
  <c r="I235" i="87" s="1"/>
  <c r="J235" i="84"/>
  <c r="Q235" i="84"/>
  <c r="J190" i="84"/>
  <c r="G190" i="87"/>
  <c r="I190" i="87" s="1"/>
  <c r="Q190" i="84"/>
  <c r="K196" i="96"/>
  <c r="M196" i="96" s="1"/>
  <c r="N196" i="90"/>
  <c r="O196" i="90"/>
  <c r="K43" i="99"/>
  <c r="M43" i="99" s="1"/>
  <c r="N43" i="96"/>
  <c r="O43" i="96"/>
  <c r="K37" i="84"/>
  <c r="M37" i="84" s="1"/>
  <c r="K45" i="84"/>
  <c r="M39" i="84"/>
  <c r="N224" i="99"/>
  <c r="O224" i="99"/>
  <c r="Q154" i="84"/>
  <c r="J154" i="84"/>
  <c r="Q158" i="87"/>
  <c r="J158" i="87"/>
  <c r="G224" i="96"/>
  <c r="I224" i="96" s="1"/>
  <c r="J224" i="90"/>
  <c r="Q224" i="90"/>
  <c r="J122" i="87"/>
  <c r="G122" i="90"/>
  <c r="I122" i="90" s="1"/>
  <c r="Q122" i="87"/>
  <c r="J89" i="84"/>
  <c r="G89" i="87"/>
  <c r="I89" i="87" s="1"/>
  <c r="Q89" i="84"/>
  <c r="G154" i="87"/>
  <c r="I154" i="87" s="1"/>
  <c r="G160" i="87"/>
  <c r="I160" i="87" s="1"/>
  <c r="J160" i="87" s="1"/>
  <c r="I156" i="87"/>
  <c r="K41" i="96"/>
  <c r="M41" i="96" s="1"/>
  <c r="N41" i="90"/>
  <c r="O41" i="90"/>
  <c r="Q41" i="90"/>
  <c r="K177" i="96"/>
  <c r="M177" i="96" s="1"/>
  <c r="O177" i="90"/>
  <c r="N177" i="90"/>
  <c r="G41" i="96"/>
  <c r="I41" i="96" s="1"/>
  <c r="J41" i="90"/>
  <c r="K173" i="84"/>
  <c r="M173" i="84" s="1"/>
  <c r="M171" i="84"/>
  <c r="K169" i="84"/>
  <c r="M169" i="84" s="1"/>
  <c r="G210" i="90"/>
  <c r="I210" i="90" s="1"/>
  <c r="J217" i="87"/>
  <c r="G73" i="90"/>
  <c r="I73" i="90" s="1"/>
  <c r="J73" i="87"/>
  <c r="Q73" i="87"/>
  <c r="Q148" i="84"/>
  <c r="J148" i="84"/>
  <c r="N234" i="96"/>
  <c r="K234" i="99"/>
  <c r="M234" i="99" s="1"/>
  <c r="O234" i="96"/>
  <c r="G43" i="90"/>
  <c r="I43" i="90" s="1"/>
  <c r="J43" i="87"/>
  <c r="Q43" i="87"/>
  <c r="G206" i="96"/>
  <c r="I206" i="96" s="1"/>
  <c r="J206" i="90"/>
  <c r="K173" i="96"/>
  <c r="M173" i="96" s="1"/>
  <c r="N173" i="90"/>
  <c r="O173" i="90"/>
  <c r="O75" i="96"/>
  <c r="K75" i="99"/>
  <c r="M75" i="99" s="1"/>
  <c r="N75" i="96"/>
  <c r="N73" i="96"/>
  <c r="K73" i="99"/>
  <c r="M73" i="99" s="1"/>
  <c r="O73" i="96"/>
  <c r="K56" i="99"/>
  <c r="O56" i="96"/>
  <c r="N56" i="96"/>
  <c r="K248" i="96"/>
  <c r="M248" i="96" s="1"/>
  <c r="N248" i="90"/>
  <c r="O248" i="90"/>
  <c r="Q248" i="90"/>
  <c r="N122" i="96"/>
  <c r="K122" i="99"/>
  <c r="M122" i="99" s="1"/>
  <c r="O122" i="96"/>
  <c r="G150" i="87"/>
  <c r="J150" i="84"/>
  <c r="Q150" i="84"/>
  <c r="O146" i="96"/>
  <c r="K146" i="99"/>
  <c r="M146" i="99" s="1"/>
  <c r="Q146" i="96"/>
  <c r="N146" i="96"/>
  <c r="I56" i="96"/>
  <c r="K206" i="96"/>
  <c r="M206" i="96" s="1"/>
  <c r="N206" i="90"/>
  <c r="O206" i="90"/>
  <c r="Q206" i="90"/>
  <c r="G248" i="90"/>
  <c r="I248" i="90" s="1"/>
  <c r="J250" i="87"/>
  <c r="Q217" i="87"/>
  <c r="G137" i="90"/>
  <c r="I137" i="90" s="1"/>
  <c r="J137" i="87"/>
  <c r="K182" i="84"/>
  <c r="M184" i="84"/>
  <c r="K192" i="84"/>
  <c r="M192" i="84" s="1"/>
  <c r="Q54" i="81"/>
  <c r="G173" i="90"/>
  <c r="I173" i="90" s="1"/>
  <c r="J186" i="87"/>
  <c r="K239" i="84"/>
  <c r="M239" i="84" s="1"/>
  <c r="M241" i="84"/>
  <c r="K243" i="84"/>
  <c r="M243" i="84" s="1"/>
  <c r="M85" i="84"/>
  <c r="K91" i="84"/>
  <c r="J75" i="87"/>
  <c r="G75" i="90"/>
  <c r="I75" i="90" s="1"/>
  <c r="Q75" i="87"/>
  <c r="K210" i="96"/>
  <c r="M210" i="96" s="1"/>
  <c r="O210" i="90"/>
  <c r="Q210" i="90"/>
  <c r="N210" i="90"/>
  <c r="G232" i="90"/>
  <c r="I232" i="90" s="1"/>
  <c r="J233" i="87"/>
  <c r="Q233" i="87"/>
  <c r="Q133" i="78"/>
  <c r="M137" i="90"/>
  <c r="O124" i="99"/>
  <c r="N124" i="99"/>
  <c r="O175" i="96"/>
  <c r="K175" i="99"/>
  <c r="M175" i="99" s="1"/>
  <c r="N175" i="96"/>
  <c r="K144" i="99"/>
  <c r="M144" i="99" s="1"/>
  <c r="N144" i="96"/>
  <c r="Q144" i="96"/>
  <c r="O144" i="96"/>
  <c r="G175" i="90"/>
  <c r="I175" i="90" s="1"/>
  <c r="J188" i="87"/>
  <c r="Q188" i="87"/>
  <c r="G20" i="87"/>
  <c r="I20" i="87" s="1"/>
  <c r="J20" i="84"/>
  <c r="Q20" i="84"/>
  <c r="K227" i="84"/>
  <c r="M223" i="84"/>
  <c r="M164" i="84"/>
  <c r="K166" i="84"/>
  <c r="M166" i="84" s="1"/>
  <c r="K162" i="84"/>
  <c r="M162" i="84" s="1"/>
  <c r="K204" i="99"/>
  <c r="M204" i="99" s="1"/>
  <c r="N204" i="96"/>
  <c r="O204" i="96"/>
  <c r="K232" i="99"/>
  <c r="M232" i="99" s="1"/>
  <c r="N232" i="96"/>
  <c r="O232" i="96"/>
  <c r="K20" i="99"/>
  <c r="M20" i="99" s="1"/>
  <c r="N20" i="96"/>
  <c r="O20" i="96"/>
  <c r="J124" i="87"/>
  <c r="G124" i="90"/>
  <c r="I124" i="90" s="1"/>
  <c r="Q124" i="87"/>
  <c r="K89" i="96"/>
  <c r="M89" i="96" s="1"/>
  <c r="N89" i="90"/>
  <c r="O89" i="90"/>
  <c r="J105" i="99"/>
  <c r="Q105" i="99"/>
  <c r="O204" i="90"/>
  <c r="N204" i="90"/>
  <c r="G211" i="87"/>
  <c r="I211" i="87" s="1"/>
  <c r="J211" i="84"/>
  <c r="Q211" i="84"/>
  <c r="J56" i="90"/>
  <c r="Q56" i="90"/>
  <c r="M208" i="90"/>
  <c r="K208" i="96" s="1"/>
  <c r="M208" i="96" s="1"/>
  <c r="G208" i="90"/>
  <c r="J215" i="87"/>
  <c r="Q215" i="87"/>
  <c r="J56" i="87"/>
  <c r="Q56" i="87"/>
  <c r="J18" i="84"/>
  <c r="G18" i="87"/>
  <c r="I18" i="87" s="1"/>
  <c r="G18" i="90" s="1"/>
  <c r="Q18" i="84"/>
  <c r="M60" i="87"/>
  <c r="K60" i="90" s="1"/>
  <c r="K62" i="87"/>
  <c r="K54" i="87"/>
  <c r="M54" i="87" s="1"/>
  <c r="J60" i="81"/>
  <c r="G60" i="84"/>
  <c r="K52" i="84"/>
  <c r="M52" i="84" s="1"/>
  <c r="M62" i="84"/>
  <c r="N54" i="84"/>
  <c r="O54" i="84"/>
  <c r="O60" i="84"/>
  <c r="N60" i="84"/>
  <c r="Q60" i="81"/>
  <c r="G254" i="78"/>
  <c r="I254" i="78" s="1"/>
  <c r="O169" i="81"/>
  <c r="N169" i="81"/>
  <c r="Q169" i="81"/>
  <c r="H18" i="82"/>
  <c r="O192" i="81"/>
  <c r="N192" i="81"/>
  <c r="O223" i="81"/>
  <c r="N223" i="81"/>
  <c r="Q223" i="81"/>
  <c r="Q131" i="78"/>
  <c r="N131" i="78"/>
  <c r="O131" i="78"/>
  <c r="O39" i="81"/>
  <c r="N39" i="81"/>
  <c r="O135" i="81"/>
  <c r="N135" i="81"/>
  <c r="N229" i="78"/>
  <c r="O229" i="78"/>
  <c r="O162" i="81"/>
  <c r="N162" i="81"/>
  <c r="N67" i="78"/>
  <c r="O67" i="78"/>
  <c r="Q67" i="78"/>
  <c r="D5" i="80"/>
  <c r="G10" i="79"/>
  <c r="G95" i="81"/>
  <c r="J95" i="78"/>
  <c r="O241" i="81"/>
  <c r="N241" i="81"/>
  <c r="J77" i="78"/>
  <c r="F14" i="79"/>
  <c r="N52" i="81"/>
  <c r="O52" i="81"/>
  <c r="K83" i="81"/>
  <c r="M91" i="81"/>
  <c r="J166" i="78"/>
  <c r="Q166" i="78"/>
  <c r="G147" i="81"/>
  <c r="I147" i="81" s="1"/>
  <c r="I142" i="81"/>
  <c r="G140" i="81"/>
  <c r="I140" i="81" s="1"/>
  <c r="J140" i="81" s="1"/>
  <c r="G12" i="78"/>
  <c r="I14" i="78"/>
  <c r="J14" i="78" s="1"/>
  <c r="K160" i="81"/>
  <c r="M156" i="81"/>
  <c r="K156" i="84" s="1"/>
  <c r="G85" i="81"/>
  <c r="J85" i="78"/>
  <c r="Q85" i="78"/>
  <c r="G52" i="81"/>
  <c r="I52" i="81" s="1"/>
  <c r="J52" i="81" s="1"/>
  <c r="I62" i="81"/>
  <c r="Q62" i="81" s="1"/>
  <c r="K237" i="81"/>
  <c r="M231" i="81"/>
  <c r="K231" i="84" s="1"/>
  <c r="K246" i="81"/>
  <c r="M246" i="81" s="1"/>
  <c r="K252" i="81"/>
  <c r="M248" i="81"/>
  <c r="K248" i="84" s="1"/>
  <c r="O171" i="81"/>
  <c r="N171" i="81"/>
  <c r="M120" i="81"/>
  <c r="K120" i="84" s="1"/>
  <c r="K126" i="81"/>
  <c r="N184" i="81"/>
  <c r="O184" i="81"/>
  <c r="Q45" i="78"/>
  <c r="K197" i="78"/>
  <c r="M197" i="78" s="1"/>
  <c r="N83" i="78"/>
  <c r="M133" i="81"/>
  <c r="O237" i="78"/>
  <c r="N237" i="78"/>
  <c r="H14" i="79"/>
  <c r="O77" i="78"/>
  <c r="Q77" i="78"/>
  <c r="N77" i="78"/>
  <c r="J47" i="78"/>
  <c r="F11" i="79"/>
  <c r="Q245" i="78"/>
  <c r="N243" i="81"/>
  <c r="O243" i="81"/>
  <c r="G229" i="78"/>
  <c r="I229" i="78" s="1"/>
  <c r="J229" i="78" s="1"/>
  <c r="I237" i="78"/>
  <c r="J237" i="78" s="1"/>
  <c r="I120" i="81"/>
  <c r="G126" i="81"/>
  <c r="O85" i="81"/>
  <c r="O91" i="81" s="1"/>
  <c r="N85" i="81"/>
  <c r="F18" i="79"/>
  <c r="J192" i="78"/>
  <c r="Q192" i="78"/>
  <c r="Q35" i="78"/>
  <c r="Q219" i="78"/>
  <c r="N251" i="78"/>
  <c r="Q251" i="78"/>
  <c r="O251" i="78"/>
  <c r="K180" i="81"/>
  <c r="M180" i="81" s="1"/>
  <c r="M182" i="81"/>
  <c r="H11" i="79"/>
  <c r="O47" i="78"/>
  <c r="N47" i="78"/>
  <c r="Q47" i="78"/>
  <c r="O199" i="78"/>
  <c r="N199" i="78"/>
  <c r="Q199" i="78"/>
  <c r="M209" i="81"/>
  <c r="K209" i="84" s="1"/>
  <c r="K207" i="81"/>
  <c r="M207" i="81" s="1"/>
  <c r="K219" i="81"/>
  <c r="M219" i="81" s="1"/>
  <c r="N37" i="81"/>
  <c r="O37" i="81"/>
  <c r="O98" i="78"/>
  <c r="H13" i="79"/>
  <c r="N98" i="78"/>
  <c r="G24" i="81"/>
  <c r="I24" i="81" s="1"/>
  <c r="J24" i="81" s="1"/>
  <c r="I26" i="81"/>
  <c r="G28" i="81"/>
  <c r="I28" i="81" s="1"/>
  <c r="J28" i="81" s="1"/>
  <c r="M139" i="81"/>
  <c r="N139" i="81" s="1"/>
  <c r="O164" i="81"/>
  <c r="N164" i="81"/>
  <c r="N118" i="78"/>
  <c r="Q118" i="78"/>
  <c r="O118" i="78"/>
  <c r="H19" i="79"/>
  <c r="O254" i="78"/>
  <c r="Q254" i="78"/>
  <c r="N254" i="78"/>
  <c r="I241" i="81"/>
  <c r="G243" i="81"/>
  <c r="I243" i="81" s="1"/>
  <c r="J243" i="81" s="1"/>
  <c r="G239" i="81"/>
  <c r="I239" i="81" s="1"/>
  <c r="J239" i="81" s="1"/>
  <c r="Q24" i="78"/>
  <c r="O24" i="78"/>
  <c r="N24" i="78"/>
  <c r="G133" i="81"/>
  <c r="G139" i="81"/>
  <c r="I135" i="81"/>
  <c r="N239" i="81"/>
  <c r="O239" i="81"/>
  <c r="G173" i="81"/>
  <c r="I173" i="81" s="1"/>
  <c r="J173" i="81" s="1"/>
  <c r="I171" i="81"/>
  <c r="G231" i="81"/>
  <c r="J231" i="78"/>
  <c r="G209" i="81"/>
  <c r="J209" i="78"/>
  <c r="I39" i="81"/>
  <c r="G45" i="81"/>
  <c r="G37" i="81"/>
  <c r="I37" i="81" s="1"/>
  <c r="J37" i="81" s="1"/>
  <c r="G164" i="81"/>
  <c r="J164" i="78"/>
  <c r="Q164" i="78"/>
  <c r="G180" i="78"/>
  <c r="I180" i="78" s="1"/>
  <c r="I182" i="78"/>
  <c r="I20" i="79"/>
  <c r="J20" i="79"/>
  <c r="E13" i="80"/>
  <c r="I71" i="81"/>
  <c r="G77" i="81"/>
  <c r="I203" i="81"/>
  <c r="G203" i="84" s="1"/>
  <c r="G199" i="81"/>
  <c r="G205" i="81"/>
  <c r="J18" i="76"/>
  <c r="E11" i="77"/>
  <c r="I18" i="76"/>
  <c r="N173" i="81"/>
  <c r="O173" i="81"/>
  <c r="I248" i="81"/>
  <c r="G252" i="81"/>
  <c r="M95" i="81"/>
  <c r="K95" i="84" s="1"/>
  <c r="K93" i="81"/>
  <c r="M93" i="81" s="1"/>
  <c r="K96" i="81"/>
  <c r="M96" i="81" s="1"/>
  <c r="M71" i="81"/>
  <c r="K71" i="84" s="1"/>
  <c r="K77" i="81"/>
  <c r="K221" i="81"/>
  <c r="M221" i="81" s="1"/>
  <c r="M227" i="81"/>
  <c r="Q154" i="81"/>
  <c r="J154" i="81"/>
  <c r="M45" i="81"/>
  <c r="K35" i="81"/>
  <c r="M35" i="81" s="1"/>
  <c r="K47" i="81"/>
  <c r="N82" i="78"/>
  <c r="O82" i="78"/>
  <c r="J139" i="78"/>
  <c r="I175" i="78"/>
  <c r="O166" i="81"/>
  <c r="N166" i="81"/>
  <c r="H17" i="79"/>
  <c r="O126" i="78"/>
  <c r="Q126" i="78"/>
  <c r="Q205" i="78"/>
  <c r="N205" i="78"/>
  <c r="O205" i="78"/>
  <c r="G82" i="78"/>
  <c r="I82" i="78" s="1"/>
  <c r="J82" i="78" s="1"/>
  <c r="I93" i="78"/>
  <c r="G221" i="81"/>
  <c r="I221" i="81" s="1"/>
  <c r="J221" i="81" s="1"/>
  <c r="I227" i="81"/>
  <c r="J227" i="81" s="1"/>
  <c r="J254" i="78"/>
  <c r="F19" i="79"/>
  <c r="K24" i="81"/>
  <c r="M26" i="81"/>
  <c r="K26" i="84" s="1"/>
  <c r="K28" i="81"/>
  <c r="M28" i="81" s="1"/>
  <c r="N28" i="81" s="1"/>
  <c r="K205" i="81"/>
  <c r="M201" i="81"/>
  <c r="K201" i="84" s="1"/>
  <c r="K199" i="81"/>
  <c r="O62" i="81"/>
  <c r="H10" i="82"/>
  <c r="N62" i="81"/>
  <c r="J162" i="78"/>
  <c r="Q162" i="78"/>
  <c r="G184" i="81"/>
  <c r="J184" i="78"/>
  <c r="Q184" i="78"/>
  <c r="K140" i="81"/>
  <c r="M140" i="81" s="1"/>
  <c r="K147" i="81"/>
  <c r="M147" i="81" s="1"/>
  <c r="M142" i="81"/>
  <c r="K142" i="84" s="1"/>
  <c r="G152" i="81"/>
  <c r="I152" i="81" s="1"/>
  <c r="J152" i="81" s="1"/>
  <c r="G148" i="81"/>
  <c r="I148" i="81" s="1"/>
  <c r="I150" i="81"/>
  <c r="J16" i="78"/>
  <c r="G16" i="81"/>
  <c r="G83" i="78"/>
  <c r="I91" i="78"/>
  <c r="F17" i="79"/>
  <c r="J126" i="78"/>
  <c r="J8" i="2"/>
  <c r="J254" i="75"/>
  <c r="Q237" i="75"/>
  <c r="J166" i="75"/>
  <c r="Q166" i="75"/>
  <c r="I175" i="75"/>
  <c r="E6" i="77"/>
  <c r="I11" i="76"/>
  <c r="O197" i="75"/>
  <c r="N197" i="75"/>
  <c r="I13" i="76"/>
  <c r="E7" i="77"/>
  <c r="J13" i="76"/>
  <c r="Q254" i="75"/>
  <c r="D5" i="77"/>
  <c r="G10" i="76"/>
  <c r="D8" i="77"/>
  <c r="G14" i="76"/>
  <c r="H19" i="76"/>
  <c r="H16" i="76" s="1"/>
  <c r="O254" i="75"/>
  <c r="N254" i="75"/>
  <c r="I20" i="76"/>
  <c r="E13" i="77"/>
  <c r="J20" i="76"/>
  <c r="I229" i="75"/>
  <c r="G197" i="75"/>
  <c r="I197" i="75" s="1"/>
  <c r="F13" i="76"/>
  <c r="J98" i="75"/>
  <c r="I8" i="2"/>
  <c r="I30" i="75"/>
  <c r="G460" i="75"/>
  <c r="J11" i="76"/>
  <c r="H12" i="76"/>
  <c r="I14" i="76"/>
  <c r="E8" i="77"/>
  <c r="J14" i="76"/>
  <c r="I17" i="76"/>
  <c r="J17" i="76"/>
  <c r="D12" i="77"/>
  <c r="G19" i="76"/>
  <c r="G16" i="2"/>
  <c r="I16" i="2"/>
  <c r="J21" i="2"/>
  <c r="I21" i="2"/>
  <c r="F21" i="2"/>
  <c r="G21" i="2" s="1"/>
  <c r="G8" i="2"/>
  <c r="J39" i="81" l="1"/>
  <c r="G39" i="84"/>
  <c r="O20" i="99"/>
  <c r="N20" i="99"/>
  <c r="K223" i="87"/>
  <c r="N223" i="84"/>
  <c r="O223" i="84"/>
  <c r="G232" i="96"/>
  <c r="I232" i="96" s="1"/>
  <c r="J232" i="90"/>
  <c r="Q232" i="90"/>
  <c r="N239" i="84"/>
  <c r="O239" i="84"/>
  <c r="K173" i="99"/>
  <c r="M173" i="99" s="1"/>
  <c r="O173" i="96"/>
  <c r="N173" i="96"/>
  <c r="Q173" i="96"/>
  <c r="K196" i="99"/>
  <c r="M196" i="99" s="1"/>
  <c r="O196" i="96"/>
  <c r="N196" i="96"/>
  <c r="K93" i="84"/>
  <c r="M93" i="84" s="1"/>
  <c r="K96" i="84"/>
  <c r="M96" i="84" s="1"/>
  <c r="M95" i="84"/>
  <c r="J71" i="81"/>
  <c r="G71" i="84"/>
  <c r="M227" i="84"/>
  <c r="K221" i="84"/>
  <c r="M221" i="84" s="1"/>
  <c r="I150" i="87"/>
  <c r="G148" i="87"/>
  <c r="I148" i="87" s="1"/>
  <c r="G152" i="87"/>
  <c r="I152" i="87" s="1"/>
  <c r="J152" i="87" s="1"/>
  <c r="M56" i="99"/>
  <c r="O177" i="96"/>
  <c r="K177" i="99"/>
  <c r="M177" i="99" s="1"/>
  <c r="N177" i="96"/>
  <c r="G122" i="96"/>
  <c r="I122" i="96" s="1"/>
  <c r="J122" i="90"/>
  <c r="Q122" i="90"/>
  <c r="K237" i="84"/>
  <c r="M231" i="84"/>
  <c r="J142" i="81"/>
  <c r="G142" i="84"/>
  <c r="O175" i="99"/>
  <c r="N175" i="99"/>
  <c r="G173" i="96"/>
  <c r="I173" i="96" s="1"/>
  <c r="J173" i="90"/>
  <c r="G206" i="99"/>
  <c r="I206" i="99" s="1"/>
  <c r="J206" i="99" s="1"/>
  <c r="J206" i="96"/>
  <c r="G73" i="96"/>
  <c r="I73" i="96" s="1"/>
  <c r="J73" i="90"/>
  <c r="Q73" i="90"/>
  <c r="K39" i="87"/>
  <c r="N39" i="84"/>
  <c r="O39" i="84"/>
  <c r="G177" i="90"/>
  <c r="I177" i="90" s="1"/>
  <c r="J190" i="87"/>
  <c r="Q190" i="87"/>
  <c r="J248" i="81"/>
  <c r="G248" i="84"/>
  <c r="K206" i="99"/>
  <c r="M206" i="99" s="1"/>
  <c r="O206" i="96"/>
  <c r="N206" i="96"/>
  <c r="Q206" i="96"/>
  <c r="N73" i="99"/>
  <c r="O73" i="99"/>
  <c r="K47" i="84"/>
  <c r="M45" i="84"/>
  <c r="K35" i="84"/>
  <c r="M35" i="84" s="1"/>
  <c r="K208" i="99"/>
  <c r="M208" i="99" s="1"/>
  <c r="N208" i="96"/>
  <c r="O208" i="96"/>
  <c r="N232" i="99"/>
  <c r="O232" i="99"/>
  <c r="J20" i="87"/>
  <c r="G20" i="90"/>
  <c r="I20" i="90" s="1"/>
  <c r="Q20" i="87"/>
  <c r="K210" i="99"/>
  <c r="M210" i="99" s="1"/>
  <c r="N210" i="96"/>
  <c r="Q210" i="96"/>
  <c r="O210" i="96"/>
  <c r="O192" i="84"/>
  <c r="N192" i="84"/>
  <c r="H18" i="85"/>
  <c r="O122" i="99"/>
  <c r="N122" i="99"/>
  <c r="G210" i="96"/>
  <c r="I210" i="96" s="1"/>
  <c r="J210" i="90"/>
  <c r="N37" i="84"/>
  <c r="O37" i="84"/>
  <c r="K140" i="84"/>
  <c r="M140" i="84" s="1"/>
  <c r="M142" i="84"/>
  <c r="K147" i="84"/>
  <c r="M147" i="84" s="1"/>
  <c r="J171" i="81"/>
  <c r="G171" i="84"/>
  <c r="J241" i="81"/>
  <c r="G241" i="84"/>
  <c r="N89" i="96"/>
  <c r="K89" i="99"/>
  <c r="M89" i="99" s="1"/>
  <c r="O89" i="96"/>
  <c r="K184" i="87"/>
  <c r="N184" i="84"/>
  <c r="O184" i="84"/>
  <c r="J56" i="96"/>
  <c r="G56" i="99"/>
  <c r="G43" i="96"/>
  <c r="I43" i="96" s="1"/>
  <c r="J43" i="90"/>
  <c r="Q43" i="90"/>
  <c r="N169" i="84"/>
  <c r="O169" i="84"/>
  <c r="Q169" i="84"/>
  <c r="Q41" i="96"/>
  <c r="K41" i="99"/>
  <c r="M41" i="99" s="1"/>
  <c r="N41" i="96"/>
  <c r="O41" i="96"/>
  <c r="J224" i="96"/>
  <c r="G224" i="99"/>
  <c r="I224" i="99" s="1"/>
  <c r="Q224" i="96"/>
  <c r="K199" i="84"/>
  <c r="M199" i="84" s="1"/>
  <c r="M201" i="84"/>
  <c r="K205" i="84"/>
  <c r="M205" i="84" s="1"/>
  <c r="G75" i="96"/>
  <c r="I75" i="96" s="1"/>
  <c r="J75" i="90"/>
  <c r="Q75" i="90"/>
  <c r="K180" i="84"/>
  <c r="M180" i="84" s="1"/>
  <c r="M182" i="84"/>
  <c r="K157" i="90"/>
  <c r="K171" i="87"/>
  <c r="N171" i="84"/>
  <c r="O171" i="84"/>
  <c r="G234" i="90"/>
  <c r="I234" i="90" s="1"/>
  <c r="J235" i="87"/>
  <c r="Q235" i="87"/>
  <c r="G124" i="96"/>
  <c r="I124" i="96" s="1"/>
  <c r="J124" i="90"/>
  <c r="Q124" i="90"/>
  <c r="G175" i="96"/>
  <c r="I175" i="96" s="1"/>
  <c r="J175" i="90"/>
  <c r="Q175" i="90"/>
  <c r="K137" i="96"/>
  <c r="M137" i="96" s="1"/>
  <c r="Q137" i="90"/>
  <c r="N137" i="90"/>
  <c r="O137" i="90"/>
  <c r="N75" i="99"/>
  <c r="O75" i="99"/>
  <c r="N173" i="84"/>
  <c r="O173" i="84"/>
  <c r="I223" i="84"/>
  <c r="G227" i="84"/>
  <c r="O204" i="99"/>
  <c r="N204" i="99"/>
  <c r="M91" i="84"/>
  <c r="K83" i="84"/>
  <c r="G137" i="96"/>
  <c r="I137" i="96" s="1"/>
  <c r="J137" i="90"/>
  <c r="O234" i="99"/>
  <c r="N234" i="99"/>
  <c r="Q154" i="87"/>
  <c r="J154" i="87"/>
  <c r="O43" i="99"/>
  <c r="N43" i="99"/>
  <c r="J135" i="81"/>
  <c r="G135" i="84"/>
  <c r="M156" i="84"/>
  <c r="K160" i="84"/>
  <c r="O162" i="84"/>
  <c r="N162" i="84"/>
  <c r="K85" i="87"/>
  <c r="N85" i="84"/>
  <c r="O85" i="84"/>
  <c r="O91" i="84" s="1"/>
  <c r="Q146" i="99"/>
  <c r="N146" i="99"/>
  <c r="O146" i="99"/>
  <c r="O248" i="96"/>
  <c r="K248" i="99"/>
  <c r="M248" i="99" s="1"/>
  <c r="N248" i="96"/>
  <c r="Q173" i="90"/>
  <c r="J41" i="96"/>
  <c r="G41" i="99"/>
  <c r="I41" i="99" s="1"/>
  <c r="J41" i="99" s="1"/>
  <c r="M139" i="84"/>
  <c r="N139" i="84" s="1"/>
  <c r="K175" i="84"/>
  <c r="M175" i="84" s="1"/>
  <c r="K69" i="84"/>
  <c r="M69" i="84" s="1"/>
  <c r="M71" i="84"/>
  <c r="K77" i="84"/>
  <c r="O166" i="84"/>
  <c r="N166" i="84"/>
  <c r="O243" i="84"/>
  <c r="N243" i="84"/>
  <c r="J89" i="87"/>
  <c r="G89" i="90"/>
  <c r="I89" i="90" s="1"/>
  <c r="Q89" i="87"/>
  <c r="K131" i="84"/>
  <c r="M131" i="84" s="1"/>
  <c r="M133" i="84"/>
  <c r="G205" i="84"/>
  <c r="I205" i="84" s="1"/>
  <c r="J205" i="84" s="1"/>
  <c r="G199" i="84"/>
  <c r="I199" i="84" s="1"/>
  <c r="J199" i="84" s="1"/>
  <c r="I203" i="84"/>
  <c r="K252" i="84"/>
  <c r="M248" i="84"/>
  <c r="K246" i="84"/>
  <c r="M246" i="84" s="1"/>
  <c r="O164" i="84"/>
  <c r="K164" i="87"/>
  <c r="N164" i="84"/>
  <c r="N144" i="99"/>
  <c r="O144" i="99"/>
  <c r="Q144" i="99"/>
  <c r="O241" i="84"/>
  <c r="K241" i="87"/>
  <c r="N241" i="84"/>
  <c r="G248" i="96"/>
  <c r="I248" i="96" s="1"/>
  <c r="J248" i="90"/>
  <c r="Q56" i="96"/>
  <c r="N135" i="84"/>
  <c r="K135" i="87"/>
  <c r="O135" i="84"/>
  <c r="I18" i="90"/>
  <c r="G204" i="90"/>
  <c r="I204" i="90" s="1"/>
  <c r="G204" i="96" s="1"/>
  <c r="I204" i="96" s="1"/>
  <c r="Q211" i="87"/>
  <c r="J211" i="87"/>
  <c r="J120" i="81"/>
  <c r="G120" i="84"/>
  <c r="M60" i="90"/>
  <c r="K60" i="96" s="1"/>
  <c r="K62" i="90"/>
  <c r="K54" i="90"/>
  <c r="M54" i="90" s="1"/>
  <c r="O208" i="90"/>
  <c r="N208" i="90"/>
  <c r="I208" i="90"/>
  <c r="G208" i="96" s="1"/>
  <c r="I208" i="96" s="1"/>
  <c r="M209" i="84"/>
  <c r="K207" i="84"/>
  <c r="K219" i="84"/>
  <c r="J18" i="87"/>
  <c r="Q18" i="87"/>
  <c r="J26" i="81"/>
  <c r="G26" i="84"/>
  <c r="K52" i="87"/>
  <c r="M52" i="87" s="1"/>
  <c r="M62" i="87"/>
  <c r="O54" i="87"/>
  <c r="N54" i="87"/>
  <c r="O60" i="87"/>
  <c r="N60" i="87"/>
  <c r="M120" i="84"/>
  <c r="K120" i="87" s="1"/>
  <c r="K126" i="84"/>
  <c r="K24" i="84"/>
  <c r="K28" i="84"/>
  <c r="M28" i="84" s="1"/>
  <c r="N28" i="84" s="1"/>
  <c r="M26" i="84"/>
  <c r="K26" i="87" s="1"/>
  <c r="I60" i="84"/>
  <c r="G60" i="87" s="1"/>
  <c r="G62" i="84"/>
  <c r="G54" i="84"/>
  <c r="I54" i="84" s="1"/>
  <c r="H10" i="85"/>
  <c r="N62" i="84"/>
  <c r="O62" i="84"/>
  <c r="O52" i="84"/>
  <c r="N52" i="84"/>
  <c r="K131" i="81"/>
  <c r="M131" i="81" s="1"/>
  <c r="Q229" i="78"/>
  <c r="Q243" i="81"/>
  <c r="G22" i="81"/>
  <c r="I22" i="81" s="1"/>
  <c r="J22" i="81" s="1"/>
  <c r="I16" i="81"/>
  <c r="G14" i="81"/>
  <c r="O35" i="81"/>
  <c r="N35" i="81"/>
  <c r="N227" i="81"/>
  <c r="O227" i="81"/>
  <c r="Q227" i="81"/>
  <c r="J91" i="78"/>
  <c r="Q91" i="78"/>
  <c r="J150" i="81"/>
  <c r="Q150" i="81"/>
  <c r="N147" i="81"/>
  <c r="O147" i="81"/>
  <c r="G182" i="81"/>
  <c r="I184" i="81"/>
  <c r="G184" i="84" s="1"/>
  <c r="G192" i="81"/>
  <c r="I192" i="81" s="1"/>
  <c r="E5" i="83"/>
  <c r="J10" i="82"/>
  <c r="I10" i="82"/>
  <c r="N201" i="81"/>
  <c r="O201" i="81"/>
  <c r="Q201" i="81"/>
  <c r="I17" i="79"/>
  <c r="J17" i="79"/>
  <c r="H16" i="79"/>
  <c r="F20" i="79"/>
  <c r="J175" i="78"/>
  <c r="Q175" i="78"/>
  <c r="Q82" i="78"/>
  <c r="M77" i="81"/>
  <c r="K67" i="81"/>
  <c r="M67" i="81" s="1"/>
  <c r="O95" i="81"/>
  <c r="N95" i="81"/>
  <c r="G67" i="81"/>
  <c r="I67" i="81" s="1"/>
  <c r="J67" i="81" s="1"/>
  <c r="I77" i="81"/>
  <c r="G237" i="81"/>
  <c r="I231" i="81"/>
  <c r="I133" i="81"/>
  <c r="J133" i="81" s="1"/>
  <c r="N180" i="81"/>
  <c r="O180" i="81"/>
  <c r="G18" i="79"/>
  <c r="D11" i="80"/>
  <c r="G118" i="81"/>
  <c r="I118" i="81" s="1"/>
  <c r="J118" i="81" s="1"/>
  <c r="I126" i="81"/>
  <c r="D6" i="80"/>
  <c r="G11" i="79"/>
  <c r="Q237" i="78"/>
  <c r="Q120" i="81"/>
  <c r="N120" i="81"/>
  <c r="O120" i="81"/>
  <c r="O248" i="81"/>
  <c r="N248" i="81"/>
  <c r="M252" i="81"/>
  <c r="Q248" i="81"/>
  <c r="K229" i="81"/>
  <c r="M229" i="81" s="1"/>
  <c r="M237" i="81"/>
  <c r="M83" i="81"/>
  <c r="K82" i="81"/>
  <c r="M82" i="81" s="1"/>
  <c r="K98" i="81"/>
  <c r="M98" i="81" s="1"/>
  <c r="D8" i="80"/>
  <c r="G14" i="79"/>
  <c r="Q39" i="81"/>
  <c r="J18" i="82"/>
  <c r="I18" i="82"/>
  <c r="E11" i="83"/>
  <c r="I83" i="78"/>
  <c r="G98" i="78"/>
  <c r="J148" i="81"/>
  <c r="Q148" i="81"/>
  <c r="O140" i="81"/>
  <c r="N140" i="81"/>
  <c r="Q140" i="81"/>
  <c r="M205" i="81"/>
  <c r="K255" i="81"/>
  <c r="M255" i="81" s="1"/>
  <c r="D12" i="80"/>
  <c r="G19" i="79"/>
  <c r="J93" i="78"/>
  <c r="Q93" i="78"/>
  <c r="N71" i="81"/>
  <c r="Q71" i="81"/>
  <c r="O71" i="81"/>
  <c r="G246" i="81"/>
  <c r="I246" i="81" s="1"/>
  <c r="J246" i="81" s="1"/>
  <c r="I252" i="81"/>
  <c r="J252" i="81" s="1"/>
  <c r="I205" i="81"/>
  <c r="J205" i="81" s="1"/>
  <c r="J182" i="78"/>
  <c r="Q182" i="78"/>
  <c r="G166" i="81"/>
  <c r="I166" i="81" s="1"/>
  <c r="G162" i="81"/>
  <c r="I162" i="81" s="1"/>
  <c r="I164" i="81"/>
  <c r="G164" i="84" s="1"/>
  <c r="O219" i="81"/>
  <c r="N219" i="81"/>
  <c r="I14" i="79"/>
  <c r="J14" i="79"/>
  <c r="E8" i="80"/>
  <c r="N133" i="81"/>
  <c r="O133" i="81"/>
  <c r="Q171" i="81"/>
  <c r="F10" i="82"/>
  <c r="J62" i="81"/>
  <c r="I85" i="81"/>
  <c r="G85" i="84" s="1"/>
  <c r="G91" i="81"/>
  <c r="I12" i="78"/>
  <c r="J12" i="78" s="1"/>
  <c r="G30" i="78"/>
  <c r="Q135" i="81"/>
  <c r="N96" i="81"/>
  <c r="O96" i="81"/>
  <c r="O83" i="81" s="1"/>
  <c r="I199" i="81"/>
  <c r="J199" i="81" s="1"/>
  <c r="J180" i="78"/>
  <c r="Q180" i="78"/>
  <c r="I209" i="81"/>
  <c r="G207" i="81"/>
  <c r="I207" i="81" s="1"/>
  <c r="J207" i="81" s="1"/>
  <c r="G219" i="81"/>
  <c r="I219" i="81" s="1"/>
  <c r="J219" i="81" s="1"/>
  <c r="E12" i="80"/>
  <c r="I19" i="79"/>
  <c r="J19" i="79"/>
  <c r="K175" i="81"/>
  <c r="M175" i="81" s="1"/>
  <c r="Q37" i="81"/>
  <c r="N207" i="81"/>
  <c r="O207" i="81"/>
  <c r="J11" i="79"/>
  <c r="I11" i="79"/>
  <c r="E6" i="80"/>
  <c r="O131" i="81"/>
  <c r="N131" i="81"/>
  <c r="O197" i="78"/>
  <c r="N197" i="78"/>
  <c r="O246" i="81"/>
  <c r="N246" i="81"/>
  <c r="O156" i="81"/>
  <c r="Q156" i="81"/>
  <c r="Q52" i="81"/>
  <c r="Q241" i="81"/>
  <c r="G96" i="81"/>
  <c r="I96" i="81" s="1"/>
  <c r="J96" i="81" s="1"/>
  <c r="G93" i="81"/>
  <c r="I93" i="81" s="1"/>
  <c r="J93" i="81" s="1"/>
  <c r="I95" i="81"/>
  <c r="D10" i="80"/>
  <c r="G17" i="79"/>
  <c r="O142" i="81"/>
  <c r="N142" i="81"/>
  <c r="Q142" i="81"/>
  <c r="M199" i="81"/>
  <c r="K197" i="81"/>
  <c r="M197" i="81" s="1"/>
  <c r="M24" i="81"/>
  <c r="Q26" i="81"/>
  <c r="N26" i="81"/>
  <c r="O26" i="81"/>
  <c r="M47" i="81"/>
  <c r="O45" i="81"/>
  <c r="N45" i="81"/>
  <c r="N221" i="81"/>
  <c r="O221" i="81"/>
  <c r="Q221" i="81"/>
  <c r="O93" i="81"/>
  <c r="N93" i="81"/>
  <c r="Q173" i="81"/>
  <c r="J203" i="81"/>
  <c r="Q203" i="81"/>
  <c r="I45" i="81"/>
  <c r="J45" i="81" s="1"/>
  <c r="G47" i="81"/>
  <c r="I47" i="81" s="1"/>
  <c r="G35" i="81"/>
  <c r="I35" i="81" s="1"/>
  <c r="J35" i="81" s="1"/>
  <c r="Q239" i="81"/>
  <c r="G175" i="81"/>
  <c r="I139" i="81"/>
  <c r="E7" i="80"/>
  <c r="I13" i="79"/>
  <c r="H12" i="79"/>
  <c r="J13" i="79"/>
  <c r="O209" i="81"/>
  <c r="N209" i="81"/>
  <c r="O182" i="81"/>
  <c r="N182" i="81"/>
  <c r="G197" i="78"/>
  <c r="I197" i="78" s="1"/>
  <c r="J197" i="78" s="1"/>
  <c r="K118" i="81"/>
  <c r="M118" i="81" s="1"/>
  <c r="M126" i="81"/>
  <c r="N231" i="81"/>
  <c r="O231" i="81"/>
  <c r="Q231" i="81"/>
  <c r="N91" i="81"/>
  <c r="I16" i="76"/>
  <c r="J16" i="76"/>
  <c r="F9" i="76"/>
  <c r="J30" i="75"/>
  <c r="I460" i="75"/>
  <c r="J197" i="75"/>
  <c r="Q197" i="75"/>
  <c r="J12" i="76"/>
  <c r="I12" i="76"/>
  <c r="J229" i="75"/>
  <c r="Q229" i="75"/>
  <c r="F20" i="76"/>
  <c r="J175" i="75"/>
  <c r="Q175" i="75"/>
  <c r="G13" i="76"/>
  <c r="F12" i="76"/>
  <c r="G12" i="76" s="1"/>
  <c r="D7" i="77"/>
  <c r="E12" i="77"/>
  <c r="I19" i="76"/>
  <c r="J19" i="76"/>
  <c r="M135" i="87" l="1"/>
  <c r="K133" i="87"/>
  <c r="K139" i="87"/>
  <c r="H20" i="85"/>
  <c r="N175" i="84"/>
  <c r="O175" i="84"/>
  <c r="Q199" i="84"/>
  <c r="N199" i="84"/>
  <c r="O199" i="84"/>
  <c r="O93" i="84"/>
  <c r="N93" i="84"/>
  <c r="M60" i="96"/>
  <c r="K54" i="96"/>
  <c r="M54" i="96" s="1"/>
  <c r="K62" i="96"/>
  <c r="G89" i="96"/>
  <c r="I89" i="96" s="1"/>
  <c r="J89" i="90"/>
  <c r="Q89" i="90"/>
  <c r="O137" i="96"/>
  <c r="K137" i="99"/>
  <c r="M137" i="99" s="1"/>
  <c r="N137" i="96"/>
  <c r="Q137" i="96"/>
  <c r="J43" i="96"/>
  <c r="G43" i="99"/>
  <c r="I43" i="99" s="1"/>
  <c r="Q43" i="96"/>
  <c r="I171" i="84"/>
  <c r="G173" i="84"/>
  <c r="I173" i="84" s="1"/>
  <c r="I142" i="84"/>
  <c r="G147" i="84"/>
  <c r="I147" i="84" s="1"/>
  <c r="G140" i="84"/>
  <c r="I140" i="84" s="1"/>
  <c r="J140" i="84" s="1"/>
  <c r="K166" i="87"/>
  <c r="M166" i="87" s="1"/>
  <c r="K162" i="87"/>
  <c r="M162" i="87" s="1"/>
  <c r="M164" i="87"/>
  <c r="G221" i="84"/>
  <c r="I221" i="84" s="1"/>
  <c r="J221" i="84" s="1"/>
  <c r="I227" i="84"/>
  <c r="J227" i="84" s="1"/>
  <c r="J224" i="99"/>
  <c r="Q224" i="99"/>
  <c r="I56" i="99"/>
  <c r="J56" i="99" s="1"/>
  <c r="E11" i="86"/>
  <c r="I18" i="85"/>
  <c r="J18" i="85"/>
  <c r="M39" i="87"/>
  <c r="K37" i="87"/>
  <c r="M37" i="87" s="1"/>
  <c r="K45" i="87"/>
  <c r="N56" i="99"/>
  <c r="O56" i="99"/>
  <c r="G232" i="99"/>
  <c r="I232" i="99" s="1"/>
  <c r="J232" i="96"/>
  <c r="Q232" i="96"/>
  <c r="M85" i="87"/>
  <c r="K91" i="87"/>
  <c r="J223" i="84"/>
  <c r="G223" i="87"/>
  <c r="K169" i="87"/>
  <c r="M169" i="87" s="1"/>
  <c r="K173" i="87"/>
  <c r="M173" i="87" s="1"/>
  <c r="M171" i="87"/>
  <c r="N147" i="84"/>
  <c r="O147" i="84"/>
  <c r="K231" i="87"/>
  <c r="N231" i="84"/>
  <c r="O231" i="84"/>
  <c r="J208" i="96"/>
  <c r="G208" i="99"/>
  <c r="I208" i="99" s="1"/>
  <c r="J208" i="99" s="1"/>
  <c r="J248" i="96"/>
  <c r="G248" i="99"/>
  <c r="I248" i="99" s="1"/>
  <c r="J248" i="99" s="1"/>
  <c r="N246" i="84"/>
  <c r="O246" i="84"/>
  <c r="J175" i="96"/>
  <c r="G175" i="99"/>
  <c r="I175" i="99" s="1"/>
  <c r="Q175" i="96"/>
  <c r="K155" i="90"/>
  <c r="M155" i="90" s="1"/>
  <c r="K159" i="90"/>
  <c r="M159" i="90" s="1"/>
  <c r="M157" i="90"/>
  <c r="K142" i="87"/>
  <c r="O142" i="84"/>
  <c r="N142" i="84"/>
  <c r="Q142" i="84"/>
  <c r="K229" i="84"/>
  <c r="M229" i="84" s="1"/>
  <c r="M237" i="84"/>
  <c r="J148" i="87"/>
  <c r="Q148" i="87"/>
  <c r="N196" i="99"/>
  <c r="O196" i="99"/>
  <c r="Q223" i="84"/>
  <c r="I164" i="84"/>
  <c r="G166" i="84"/>
  <c r="I166" i="84" s="1"/>
  <c r="G162" i="84"/>
  <c r="I162" i="84" s="1"/>
  <c r="M252" i="84"/>
  <c r="O248" i="84"/>
  <c r="N248" i="84"/>
  <c r="K248" i="87"/>
  <c r="Q248" i="96"/>
  <c r="O182" i="84"/>
  <c r="N182" i="84"/>
  <c r="N140" i="84"/>
  <c r="Q140" i="84"/>
  <c r="O140" i="84"/>
  <c r="Q208" i="96"/>
  <c r="Q206" i="99"/>
  <c r="N206" i="99"/>
  <c r="O206" i="99"/>
  <c r="Q73" i="96"/>
  <c r="G73" i="99"/>
  <c r="I73" i="99" s="1"/>
  <c r="J73" i="96"/>
  <c r="J150" i="87"/>
  <c r="Q150" i="87"/>
  <c r="G91" i="84"/>
  <c r="I85" i="84"/>
  <c r="J162" i="81"/>
  <c r="Q162" i="81"/>
  <c r="J204" i="96"/>
  <c r="G204" i="99"/>
  <c r="I204" i="99" s="1"/>
  <c r="Q204" i="96"/>
  <c r="N180" i="84"/>
  <c r="O180" i="84"/>
  <c r="N41" i="99"/>
  <c r="O41" i="99"/>
  <c r="Q41" i="99"/>
  <c r="I248" i="84"/>
  <c r="G252" i="84"/>
  <c r="Q221" i="84"/>
  <c r="O221" i="84"/>
  <c r="N221" i="84"/>
  <c r="M223" i="87"/>
  <c r="K227" i="87"/>
  <c r="J95" i="81"/>
  <c r="G95" i="84"/>
  <c r="G192" i="84"/>
  <c r="I192" i="84" s="1"/>
  <c r="I184" i="84"/>
  <c r="G182" i="84"/>
  <c r="K243" i="87"/>
  <c r="M243" i="87" s="1"/>
  <c r="K239" i="87"/>
  <c r="M239" i="87" s="1"/>
  <c r="M241" i="87"/>
  <c r="G203" i="87"/>
  <c r="J203" i="84"/>
  <c r="Q203" i="84"/>
  <c r="N248" i="99"/>
  <c r="O248" i="99"/>
  <c r="G124" i="99"/>
  <c r="I124" i="99" s="1"/>
  <c r="J124" i="96"/>
  <c r="Q124" i="96"/>
  <c r="K192" i="87"/>
  <c r="M192" i="87" s="1"/>
  <c r="M184" i="87"/>
  <c r="K182" i="87"/>
  <c r="O208" i="99"/>
  <c r="N208" i="99"/>
  <c r="J122" i="96"/>
  <c r="G122" i="99"/>
  <c r="I122" i="99" s="1"/>
  <c r="Q122" i="96"/>
  <c r="O227" i="84"/>
  <c r="N227" i="84"/>
  <c r="Q227" i="84"/>
  <c r="K156" i="87"/>
  <c r="O156" i="84"/>
  <c r="Q156" i="84"/>
  <c r="J137" i="96"/>
  <c r="G137" i="99"/>
  <c r="I137" i="99" s="1"/>
  <c r="J137" i="99" s="1"/>
  <c r="O35" i="84"/>
  <c r="N35" i="84"/>
  <c r="G69" i="84"/>
  <c r="I69" i="84" s="1"/>
  <c r="J69" i="84" s="1"/>
  <c r="G77" i="84"/>
  <c r="I71" i="84"/>
  <c r="N173" i="99"/>
  <c r="O173" i="99"/>
  <c r="J231" i="81"/>
  <c r="G231" i="84"/>
  <c r="M77" i="84"/>
  <c r="K67" i="84"/>
  <c r="M67" i="84" s="1"/>
  <c r="G139" i="84"/>
  <c r="I135" i="84"/>
  <c r="G133" i="84"/>
  <c r="K82" i="84"/>
  <c r="M82" i="84" s="1"/>
  <c r="M83" i="84"/>
  <c r="K98" i="84"/>
  <c r="M98" i="84" s="1"/>
  <c r="J75" i="96"/>
  <c r="G75" i="99"/>
  <c r="I75" i="99" s="1"/>
  <c r="Q75" i="96"/>
  <c r="N89" i="99"/>
  <c r="O89" i="99"/>
  <c r="O210" i="99"/>
  <c r="N210" i="99"/>
  <c r="Q210" i="99"/>
  <c r="N45" i="84"/>
  <c r="M47" i="84"/>
  <c r="O45" i="84"/>
  <c r="J173" i="96"/>
  <c r="G173" i="99"/>
  <c r="I173" i="99" s="1"/>
  <c r="J173" i="99" s="1"/>
  <c r="O133" i="84"/>
  <c r="N133" i="84"/>
  <c r="O71" i="84"/>
  <c r="K71" i="87"/>
  <c r="N71" i="84"/>
  <c r="N91" i="84"/>
  <c r="G234" i="96"/>
  <c r="I234" i="96" s="1"/>
  <c r="J234" i="90"/>
  <c r="Q234" i="90"/>
  <c r="N205" i="84"/>
  <c r="Q205" i="84"/>
  <c r="O205" i="84"/>
  <c r="J210" i="96"/>
  <c r="G210" i="99"/>
  <c r="I210" i="99" s="1"/>
  <c r="J210" i="99" s="1"/>
  <c r="G177" i="96"/>
  <c r="I177" i="96" s="1"/>
  <c r="J177" i="90"/>
  <c r="Q177" i="90"/>
  <c r="O177" i="99"/>
  <c r="N177" i="99"/>
  <c r="O95" i="84"/>
  <c r="K95" i="87"/>
  <c r="N95" i="84"/>
  <c r="I39" i="84"/>
  <c r="G37" i="84"/>
  <c r="I37" i="84" s="1"/>
  <c r="G45" i="84"/>
  <c r="O131" i="84"/>
  <c r="N131" i="84"/>
  <c r="N69" i="84"/>
  <c r="Q69" i="84"/>
  <c r="O69" i="84"/>
  <c r="K201" i="87"/>
  <c r="O201" i="84"/>
  <c r="N201" i="84"/>
  <c r="Q201" i="84"/>
  <c r="G239" i="84"/>
  <c r="I239" i="84" s="1"/>
  <c r="I241" i="84"/>
  <c r="G243" i="84"/>
  <c r="I243" i="84" s="1"/>
  <c r="G20" i="96"/>
  <c r="I20" i="96" s="1"/>
  <c r="J20" i="90"/>
  <c r="Q20" i="90"/>
  <c r="N96" i="84"/>
  <c r="O96" i="84"/>
  <c r="O83" i="84" s="1"/>
  <c r="G18" i="96"/>
  <c r="J18" i="90"/>
  <c r="Q18" i="90"/>
  <c r="J204" i="90"/>
  <c r="Q204" i="90"/>
  <c r="G126" i="84"/>
  <c r="I120" i="84"/>
  <c r="O54" i="90"/>
  <c r="N54" i="90"/>
  <c r="M62" i="90"/>
  <c r="K52" i="90"/>
  <c r="M52" i="90" s="1"/>
  <c r="N60" i="90"/>
  <c r="O60" i="90"/>
  <c r="Q208" i="90"/>
  <c r="J208" i="90"/>
  <c r="I60" i="87"/>
  <c r="G62" i="87"/>
  <c r="G54" i="87"/>
  <c r="I54" i="87" s="1"/>
  <c r="M207" i="84"/>
  <c r="K197" i="84"/>
  <c r="M197" i="84" s="1"/>
  <c r="M219" i="84"/>
  <c r="K255" i="84"/>
  <c r="M255" i="84" s="1"/>
  <c r="K209" i="87"/>
  <c r="O209" i="84"/>
  <c r="N209" i="84"/>
  <c r="J209" i="81"/>
  <c r="G209" i="84"/>
  <c r="K24" i="87"/>
  <c r="K28" i="87"/>
  <c r="M28" i="87" s="1"/>
  <c r="N28" i="87" s="1"/>
  <c r="M26" i="87"/>
  <c r="K26" i="90" s="1"/>
  <c r="G24" i="84"/>
  <c r="I24" i="84" s="1"/>
  <c r="J24" i="84" s="1"/>
  <c r="G28" i="84"/>
  <c r="I28" i="84" s="1"/>
  <c r="J28" i="84" s="1"/>
  <c r="I26" i="84"/>
  <c r="Q26" i="84" s="1"/>
  <c r="J16" i="81"/>
  <c r="G16" i="84"/>
  <c r="H10" i="88"/>
  <c r="N62" i="87"/>
  <c r="O62" i="87"/>
  <c r="O52" i="87"/>
  <c r="N52" i="87"/>
  <c r="M120" i="87"/>
  <c r="K120" i="90" s="1"/>
  <c r="K126" i="87"/>
  <c r="M126" i="84"/>
  <c r="K118" i="84"/>
  <c r="M118" i="84" s="1"/>
  <c r="N120" i="84"/>
  <c r="O120" i="84"/>
  <c r="Q120" i="84"/>
  <c r="O26" i="84"/>
  <c r="M24" i="84"/>
  <c r="N26" i="84"/>
  <c r="J54" i="84"/>
  <c r="Q54" i="84"/>
  <c r="I62" i="84"/>
  <c r="G52" i="84"/>
  <c r="I52" i="84" s="1"/>
  <c r="J60" i="84"/>
  <c r="Q60" i="84"/>
  <c r="J10" i="85"/>
  <c r="I10" i="85"/>
  <c r="E5" i="86"/>
  <c r="Q133" i="81"/>
  <c r="Q246" i="81"/>
  <c r="Q219" i="81"/>
  <c r="G255" i="81"/>
  <c r="I255" i="81" s="1"/>
  <c r="F19" i="82" s="1"/>
  <c r="Q93" i="81"/>
  <c r="Q197" i="78"/>
  <c r="Q209" i="81"/>
  <c r="O118" i="81"/>
  <c r="N118" i="81"/>
  <c r="Q118" i="81"/>
  <c r="Q45" i="81"/>
  <c r="N197" i="81"/>
  <c r="O197" i="81"/>
  <c r="J85" i="81"/>
  <c r="Q85" i="81"/>
  <c r="N98" i="81"/>
  <c r="H13" i="82"/>
  <c r="O98" i="81"/>
  <c r="O229" i="81"/>
  <c r="N229" i="81"/>
  <c r="Q95" i="81"/>
  <c r="H14" i="82"/>
  <c r="N77" i="81"/>
  <c r="O77" i="81"/>
  <c r="G20" i="79"/>
  <c r="D13" i="80"/>
  <c r="G180" i="81"/>
  <c r="I180" i="81" s="1"/>
  <c r="I182" i="81"/>
  <c r="I175" i="81"/>
  <c r="Q175" i="81" s="1"/>
  <c r="J139" i="81"/>
  <c r="J47" i="81"/>
  <c r="F11" i="82"/>
  <c r="Q199" i="81"/>
  <c r="N199" i="81"/>
  <c r="O199" i="81"/>
  <c r="I30" i="78"/>
  <c r="G460" i="78"/>
  <c r="J164" i="81"/>
  <c r="Q164" i="81"/>
  <c r="O255" i="81"/>
  <c r="H19" i="82"/>
  <c r="N255" i="81"/>
  <c r="J83" i="78"/>
  <c r="I98" i="78"/>
  <c r="Q83" i="78"/>
  <c r="O82" i="81"/>
  <c r="N82" i="81"/>
  <c r="G229" i="81"/>
  <c r="I229" i="81" s="1"/>
  <c r="J229" i="81" s="1"/>
  <c r="I237" i="81"/>
  <c r="J237" i="81" s="1"/>
  <c r="J16" i="79"/>
  <c r="I16" i="79"/>
  <c r="I14" i="81"/>
  <c r="J14" i="81" s="1"/>
  <c r="G12" i="81"/>
  <c r="I12" i="79"/>
  <c r="J12" i="79"/>
  <c r="D5" i="83"/>
  <c r="G10" i="82"/>
  <c r="Q205" i="81"/>
  <c r="N205" i="81"/>
  <c r="O205" i="81"/>
  <c r="N83" i="81"/>
  <c r="Q252" i="81"/>
  <c r="O252" i="81"/>
  <c r="N252" i="81"/>
  <c r="G131" i="81"/>
  <c r="I131" i="81" s="1"/>
  <c r="Q77" i="81"/>
  <c r="J77" i="81"/>
  <c r="F14" i="82"/>
  <c r="J192" i="81"/>
  <c r="F18" i="82"/>
  <c r="Q192" i="81"/>
  <c r="Q35" i="81"/>
  <c r="O126" i="81"/>
  <c r="Q126" i="81"/>
  <c r="H17" i="82"/>
  <c r="H11" i="82"/>
  <c r="N47" i="81"/>
  <c r="Q47" i="81"/>
  <c r="O47" i="81"/>
  <c r="O24" i="81"/>
  <c r="N24" i="81"/>
  <c r="Q24" i="81"/>
  <c r="F16" i="79"/>
  <c r="Q207" i="81"/>
  <c r="O175" i="81"/>
  <c r="H20" i="82"/>
  <c r="N175" i="81"/>
  <c r="G83" i="81"/>
  <c r="I91" i="81"/>
  <c r="J166" i="81"/>
  <c r="Q166" i="81"/>
  <c r="O237" i="81"/>
  <c r="N237" i="81"/>
  <c r="J126" i="81"/>
  <c r="F17" i="82"/>
  <c r="O67" i="81"/>
  <c r="Q67" i="81"/>
  <c r="N67" i="81"/>
  <c r="J184" i="81"/>
  <c r="Q184" i="81"/>
  <c r="G9" i="76"/>
  <c r="F8" i="76"/>
  <c r="G8" i="76" s="1"/>
  <c r="D4" i="77"/>
  <c r="D13" i="77"/>
  <c r="G20" i="76"/>
  <c r="F16" i="76"/>
  <c r="J460" i="75"/>
  <c r="K180" i="87" l="1"/>
  <c r="M180" i="87" s="1"/>
  <c r="M182" i="87"/>
  <c r="O241" i="87"/>
  <c r="K240" i="90"/>
  <c r="N241" i="87"/>
  <c r="O252" i="84"/>
  <c r="N252" i="84"/>
  <c r="Q252" i="84"/>
  <c r="N173" i="87"/>
  <c r="O173" i="87"/>
  <c r="K35" i="87"/>
  <c r="M35" i="87" s="1"/>
  <c r="M45" i="87"/>
  <c r="K47" i="87"/>
  <c r="J75" i="99"/>
  <c r="Q75" i="99"/>
  <c r="K171" i="90"/>
  <c r="N184" i="87"/>
  <c r="O184" i="87"/>
  <c r="N239" i="87"/>
  <c r="O239" i="87"/>
  <c r="I252" i="84"/>
  <c r="J252" i="84" s="1"/>
  <c r="G246" i="84"/>
  <c r="I246" i="84" s="1"/>
  <c r="J162" i="84"/>
  <c r="Q162" i="84"/>
  <c r="O169" i="87"/>
  <c r="N169" i="87"/>
  <c r="Q169" i="87"/>
  <c r="N37" i="87"/>
  <c r="O37" i="87"/>
  <c r="K151" i="90"/>
  <c r="O164" i="87"/>
  <c r="N164" i="87"/>
  <c r="J234" i="96"/>
  <c r="G234" i="99"/>
  <c r="I234" i="99" s="1"/>
  <c r="Q234" i="96"/>
  <c r="K160" i="87"/>
  <c r="M156" i="87"/>
  <c r="H18" i="88"/>
  <c r="O192" i="87"/>
  <c r="N192" i="87"/>
  <c r="N243" i="87"/>
  <c r="O243" i="87"/>
  <c r="J248" i="84"/>
  <c r="G248" i="87"/>
  <c r="J85" i="84"/>
  <c r="G85" i="87"/>
  <c r="Q85" i="84"/>
  <c r="J166" i="84"/>
  <c r="Q166" i="84"/>
  <c r="G227" i="87"/>
  <c r="I223" i="87"/>
  <c r="K39" i="90"/>
  <c r="N39" i="87"/>
  <c r="O39" i="87"/>
  <c r="O162" i="87"/>
  <c r="N162" i="87"/>
  <c r="O137" i="99"/>
  <c r="Q137" i="99"/>
  <c r="N137" i="99"/>
  <c r="H13" i="85"/>
  <c r="O98" i="84"/>
  <c r="N98" i="84"/>
  <c r="Q173" i="99"/>
  <c r="G180" i="84"/>
  <c r="I180" i="84" s="1"/>
  <c r="I182" i="84"/>
  <c r="I91" i="84"/>
  <c r="G83" i="84"/>
  <c r="J164" i="84"/>
  <c r="G164" i="87"/>
  <c r="Q164" i="84"/>
  <c r="M142" i="87"/>
  <c r="K140" i="87"/>
  <c r="M140" i="87" s="1"/>
  <c r="K147" i="87"/>
  <c r="M147" i="87" s="1"/>
  <c r="N166" i="87"/>
  <c r="O166" i="87"/>
  <c r="J20" i="96"/>
  <c r="G20" i="99"/>
  <c r="I20" i="99" s="1"/>
  <c r="Q20" i="96"/>
  <c r="H11" i="85"/>
  <c r="Q47" i="84"/>
  <c r="N47" i="84"/>
  <c r="O47" i="84"/>
  <c r="N83" i="84"/>
  <c r="J71" i="84"/>
  <c r="G71" i="87"/>
  <c r="J184" i="84"/>
  <c r="G184" i="87"/>
  <c r="Q184" i="84"/>
  <c r="K157" i="96"/>
  <c r="O157" i="90"/>
  <c r="N157" i="90"/>
  <c r="K83" i="87"/>
  <c r="M91" i="87"/>
  <c r="J243" i="84"/>
  <c r="Q243" i="84"/>
  <c r="Q71" i="84"/>
  <c r="N82" i="84"/>
  <c r="O82" i="84"/>
  <c r="I77" i="84"/>
  <c r="G67" i="84"/>
  <c r="I67" i="84" s="1"/>
  <c r="J67" i="84" s="1"/>
  <c r="J124" i="99"/>
  <c r="Q124" i="99"/>
  <c r="F18" i="85"/>
  <c r="J192" i="84"/>
  <c r="Q192" i="84"/>
  <c r="O159" i="90"/>
  <c r="N159" i="90"/>
  <c r="K85" i="90"/>
  <c r="O85" i="87"/>
  <c r="O91" i="87" s="1"/>
  <c r="N85" i="87"/>
  <c r="J241" i="84"/>
  <c r="G241" i="87"/>
  <c r="Q241" i="84"/>
  <c r="I45" i="84"/>
  <c r="G35" i="84"/>
  <c r="I35" i="84" s="1"/>
  <c r="G47" i="84"/>
  <c r="I47" i="84" s="1"/>
  <c r="J177" i="96"/>
  <c r="G177" i="99"/>
  <c r="I177" i="99" s="1"/>
  <c r="Q177" i="96"/>
  <c r="I133" i="84"/>
  <c r="G131" i="84"/>
  <c r="I131" i="84" s="1"/>
  <c r="I95" i="84"/>
  <c r="G96" i="84"/>
  <c r="I96" i="84" s="1"/>
  <c r="J96" i="84" s="1"/>
  <c r="G93" i="84"/>
  <c r="I93" i="84" s="1"/>
  <c r="O155" i="90"/>
  <c r="Q155" i="90"/>
  <c r="N155" i="90"/>
  <c r="J142" i="84"/>
  <c r="G142" i="87"/>
  <c r="Q89" i="96"/>
  <c r="G89" i="99"/>
  <c r="I89" i="99" s="1"/>
  <c r="J89" i="96"/>
  <c r="J239" i="84"/>
  <c r="Q239" i="84"/>
  <c r="J37" i="84"/>
  <c r="Q37" i="84"/>
  <c r="K69" i="87"/>
  <c r="M69" i="87" s="1"/>
  <c r="K77" i="87"/>
  <c r="M71" i="87"/>
  <c r="J135" i="84"/>
  <c r="G135" i="87"/>
  <c r="Q135" i="84"/>
  <c r="J122" i="99"/>
  <c r="Q122" i="99"/>
  <c r="Q248" i="99"/>
  <c r="J73" i="99"/>
  <c r="Q73" i="99"/>
  <c r="J173" i="84"/>
  <c r="Q173" i="84"/>
  <c r="K52" i="96"/>
  <c r="M52" i="96" s="1"/>
  <c r="M62" i="96"/>
  <c r="G39" i="87"/>
  <c r="J39" i="84"/>
  <c r="Q39" i="84"/>
  <c r="I139" i="84"/>
  <c r="G175" i="84"/>
  <c r="M227" i="87"/>
  <c r="K221" i="87"/>
  <c r="M221" i="87" s="1"/>
  <c r="M248" i="87"/>
  <c r="K246" i="87"/>
  <c r="M246" i="87" s="1"/>
  <c r="K252" i="87"/>
  <c r="J175" i="99"/>
  <c r="Q175" i="99"/>
  <c r="M231" i="87"/>
  <c r="K237" i="87"/>
  <c r="J232" i="99"/>
  <c r="Q232" i="99"/>
  <c r="J171" i="84"/>
  <c r="G157" i="90"/>
  <c r="G171" i="87"/>
  <c r="Q171" i="84"/>
  <c r="O54" i="96"/>
  <c r="N54" i="96"/>
  <c r="I20" i="85"/>
  <c r="E13" i="86"/>
  <c r="J20" i="85"/>
  <c r="N67" i="84"/>
  <c r="O67" i="84"/>
  <c r="Q67" i="84"/>
  <c r="K222" i="90"/>
  <c r="Q223" i="87"/>
  <c r="O223" i="87"/>
  <c r="N223" i="87"/>
  <c r="Q248" i="84"/>
  <c r="O60" i="96"/>
  <c r="K60" i="99"/>
  <c r="N60" i="96"/>
  <c r="M139" i="87"/>
  <c r="N139" i="87" s="1"/>
  <c r="K175" i="87"/>
  <c r="M175" i="87" s="1"/>
  <c r="H14" i="85"/>
  <c r="O77" i="84"/>
  <c r="N77" i="84"/>
  <c r="Q77" i="84"/>
  <c r="J204" i="99"/>
  <c r="Q204" i="99"/>
  <c r="O237" i="84"/>
  <c r="N237" i="84"/>
  <c r="Q56" i="99"/>
  <c r="J43" i="99"/>
  <c r="Q43" i="99"/>
  <c r="M133" i="87"/>
  <c r="K131" i="87"/>
  <c r="M131" i="87" s="1"/>
  <c r="K205" i="87"/>
  <c r="M205" i="87" s="1"/>
  <c r="M201" i="87"/>
  <c r="K199" i="87"/>
  <c r="M199" i="87" s="1"/>
  <c r="M95" i="87"/>
  <c r="K96" i="87"/>
  <c r="M96" i="87" s="1"/>
  <c r="K93" i="87"/>
  <c r="M93" i="87" s="1"/>
  <c r="I231" i="84"/>
  <c r="G237" i="84"/>
  <c r="Q208" i="99"/>
  <c r="I203" i="87"/>
  <c r="G205" i="87"/>
  <c r="I205" i="87" s="1"/>
  <c r="J205" i="87" s="1"/>
  <c r="G199" i="87"/>
  <c r="I199" i="87" s="1"/>
  <c r="J199" i="87" s="1"/>
  <c r="O229" i="84"/>
  <c r="N229" i="84"/>
  <c r="O171" i="87"/>
  <c r="N171" i="87"/>
  <c r="K135" i="90"/>
  <c r="N135" i="87"/>
  <c r="O135" i="87"/>
  <c r="I18" i="96"/>
  <c r="G18" i="99" s="1"/>
  <c r="I18" i="99" s="1"/>
  <c r="J120" i="84"/>
  <c r="G120" i="87"/>
  <c r="G118" i="84"/>
  <c r="I118" i="84" s="1"/>
  <c r="J118" i="84" s="1"/>
  <c r="I126" i="84"/>
  <c r="O52" i="90"/>
  <c r="N52" i="90"/>
  <c r="O62" i="90"/>
  <c r="H10" i="91"/>
  <c r="N62" i="90"/>
  <c r="G52" i="87"/>
  <c r="I52" i="87" s="1"/>
  <c r="I62" i="87"/>
  <c r="J54" i="87"/>
  <c r="Q54" i="87"/>
  <c r="J60" i="87"/>
  <c r="G60" i="90"/>
  <c r="Q60" i="87"/>
  <c r="M120" i="90"/>
  <c r="K120" i="96" s="1"/>
  <c r="K126" i="90"/>
  <c r="H19" i="85"/>
  <c r="N255" i="84"/>
  <c r="O255" i="84"/>
  <c r="N219" i="84"/>
  <c r="O219" i="84"/>
  <c r="N197" i="84"/>
  <c r="O197" i="84"/>
  <c r="K207" i="87"/>
  <c r="M209" i="87"/>
  <c r="K202" i="90" s="1"/>
  <c r="K219" i="87"/>
  <c r="N207" i="84"/>
  <c r="O207" i="84"/>
  <c r="G219" i="84"/>
  <c r="I209" i="84"/>
  <c r="G207" i="84"/>
  <c r="O26" i="87"/>
  <c r="N26" i="87"/>
  <c r="M24" i="87"/>
  <c r="J26" i="84"/>
  <c r="G26" i="87"/>
  <c r="G22" i="84"/>
  <c r="I22" i="84" s="1"/>
  <c r="J22" i="84" s="1"/>
  <c r="G14" i="84"/>
  <c r="I16" i="84"/>
  <c r="J10" i="88"/>
  <c r="I10" i="88"/>
  <c r="E5" i="89"/>
  <c r="M126" i="87"/>
  <c r="K118" i="87"/>
  <c r="M118" i="87" s="1"/>
  <c r="O120" i="87"/>
  <c r="N120" i="87"/>
  <c r="N118" i="84"/>
  <c r="O118" i="84"/>
  <c r="Q126" i="84"/>
  <c r="O126" i="84"/>
  <c r="H17" i="85"/>
  <c r="N24" i="84"/>
  <c r="O24" i="84"/>
  <c r="Q24" i="84"/>
  <c r="J52" i="84"/>
  <c r="Q52" i="84"/>
  <c r="J62" i="84"/>
  <c r="F10" i="85"/>
  <c r="Q62" i="84"/>
  <c r="J255" i="81"/>
  <c r="Q255" i="81"/>
  <c r="G197" i="81"/>
  <c r="I197" i="81" s="1"/>
  <c r="J197" i="81" s="1"/>
  <c r="J91" i="81"/>
  <c r="Q91" i="81"/>
  <c r="E13" i="83"/>
  <c r="J20" i="82"/>
  <c r="I20" i="82"/>
  <c r="D11" i="83"/>
  <c r="G18" i="82"/>
  <c r="I12" i="81"/>
  <c r="J12" i="81" s="1"/>
  <c r="G30" i="81"/>
  <c r="J180" i="81"/>
  <c r="Q180" i="81"/>
  <c r="H12" i="82"/>
  <c r="I13" i="82"/>
  <c r="E7" i="83"/>
  <c r="J13" i="82"/>
  <c r="D10" i="83"/>
  <c r="G17" i="82"/>
  <c r="G98" i="81"/>
  <c r="G82" i="81"/>
  <c r="I82" i="81" s="1"/>
  <c r="I83" i="81"/>
  <c r="J131" i="81"/>
  <c r="Q131" i="81"/>
  <c r="J14" i="82"/>
  <c r="I14" i="82"/>
  <c r="E8" i="83"/>
  <c r="E6" i="83"/>
  <c r="I11" i="82"/>
  <c r="J11" i="82"/>
  <c r="G14" i="82"/>
  <c r="D8" i="83"/>
  <c r="D12" i="83"/>
  <c r="G19" i="82"/>
  <c r="F13" i="79"/>
  <c r="J98" i="78"/>
  <c r="Q98" i="78"/>
  <c r="J19" i="82"/>
  <c r="E12" i="83"/>
  <c r="I19" i="82"/>
  <c r="F20" i="82"/>
  <c r="F16" i="82" s="1"/>
  <c r="J175" i="81"/>
  <c r="Q237" i="81"/>
  <c r="G16" i="79"/>
  <c r="J17" i="82"/>
  <c r="I17" i="82"/>
  <c r="H16" i="82"/>
  <c r="I460" i="78"/>
  <c r="J460" i="78" s="1"/>
  <c r="J30" i="78"/>
  <c r="F9" i="79"/>
  <c r="G11" i="82"/>
  <c r="D6" i="83"/>
  <c r="J182" i="81"/>
  <c r="Q182" i="81"/>
  <c r="Q229" i="81"/>
  <c r="F21" i="76"/>
  <c r="G21" i="76" s="1"/>
  <c r="G16" i="76"/>
  <c r="K14" i="75"/>
  <c r="K12" i="75" s="1"/>
  <c r="M12" i="75" s="1"/>
  <c r="M16" i="75"/>
  <c r="K22" i="75"/>
  <c r="M22" i="75"/>
  <c r="O93" i="87" l="1"/>
  <c r="N93" i="87"/>
  <c r="M60" i="99"/>
  <c r="K54" i="99"/>
  <c r="M54" i="99" s="1"/>
  <c r="K62" i="99"/>
  <c r="O62" i="96"/>
  <c r="H10" i="97"/>
  <c r="N62" i="96"/>
  <c r="K71" i="90"/>
  <c r="O71" i="87"/>
  <c r="N71" i="87"/>
  <c r="J35" i="84"/>
  <c r="Q35" i="84"/>
  <c r="N147" i="87"/>
  <c r="O147" i="87"/>
  <c r="M39" i="90"/>
  <c r="K45" i="90"/>
  <c r="K37" i="90"/>
  <c r="M37" i="90" s="1"/>
  <c r="O96" i="87"/>
  <c r="O83" i="87" s="1"/>
  <c r="N96" i="87"/>
  <c r="N52" i="96"/>
  <c r="O52" i="96"/>
  <c r="K67" i="87"/>
  <c r="M67" i="87" s="1"/>
  <c r="M77" i="87"/>
  <c r="J45" i="84"/>
  <c r="Q45" i="84"/>
  <c r="N91" i="87"/>
  <c r="O140" i="87"/>
  <c r="N140" i="87"/>
  <c r="G222" i="90"/>
  <c r="J223" i="87"/>
  <c r="M151" i="90"/>
  <c r="K149" i="90"/>
  <c r="M149" i="90" s="1"/>
  <c r="K153" i="90"/>
  <c r="M153" i="90" s="1"/>
  <c r="K126" i="96"/>
  <c r="M120" i="96"/>
  <c r="K95" i="90"/>
  <c r="N95" i="87"/>
  <c r="O95" i="87"/>
  <c r="N69" i="87"/>
  <c r="O69" i="87"/>
  <c r="D11" i="86"/>
  <c r="G18" i="85"/>
  <c r="K98" i="87"/>
  <c r="M98" i="87" s="1"/>
  <c r="M83" i="87"/>
  <c r="K82" i="87"/>
  <c r="M82" i="87" s="1"/>
  <c r="O142" i="87"/>
  <c r="K142" i="90"/>
  <c r="N142" i="87"/>
  <c r="E7" i="86"/>
  <c r="I13" i="85"/>
  <c r="H12" i="85"/>
  <c r="J13" i="85"/>
  <c r="G221" i="87"/>
  <c r="I221" i="87" s="1"/>
  <c r="J221" i="87" s="1"/>
  <c r="I227" i="87"/>
  <c r="J227" i="87" s="1"/>
  <c r="O199" i="87"/>
  <c r="Q199" i="87"/>
  <c r="N199" i="87"/>
  <c r="O246" i="87"/>
  <c r="N246" i="87"/>
  <c r="J93" i="84"/>
  <c r="Q93" i="84"/>
  <c r="G243" i="87"/>
  <c r="I243" i="87" s="1"/>
  <c r="I241" i="87"/>
  <c r="G239" i="87"/>
  <c r="I239" i="87" s="1"/>
  <c r="M202" i="90"/>
  <c r="K200" i="90"/>
  <c r="M200" i="90" s="1"/>
  <c r="K212" i="90"/>
  <c r="M212" i="90" s="1"/>
  <c r="O201" i="87"/>
  <c r="K194" i="90"/>
  <c r="N201" i="87"/>
  <c r="Q201" i="87"/>
  <c r="K246" i="90"/>
  <c r="O248" i="87"/>
  <c r="N248" i="87"/>
  <c r="M252" i="87"/>
  <c r="G162" i="87"/>
  <c r="I162" i="87" s="1"/>
  <c r="I164" i="87"/>
  <c r="G166" i="87"/>
  <c r="I166" i="87" s="1"/>
  <c r="E11" i="89"/>
  <c r="I18" i="88"/>
  <c r="J18" i="88"/>
  <c r="O205" i="87"/>
  <c r="N205" i="87"/>
  <c r="Q205" i="87"/>
  <c r="I171" i="87"/>
  <c r="G173" i="87"/>
  <c r="I173" i="87" s="1"/>
  <c r="N221" i="87"/>
  <c r="O221" i="87"/>
  <c r="Q221" i="87"/>
  <c r="G95" i="87"/>
  <c r="J95" i="84"/>
  <c r="Q95" i="84"/>
  <c r="E6" i="86"/>
  <c r="I11" i="85"/>
  <c r="J11" i="85"/>
  <c r="O156" i="87"/>
  <c r="Q156" i="87"/>
  <c r="O131" i="87"/>
  <c r="N131" i="87"/>
  <c r="M222" i="90"/>
  <c r="K226" i="90"/>
  <c r="I157" i="90"/>
  <c r="G159" i="90"/>
  <c r="I159" i="90" s="1"/>
  <c r="Q227" i="87"/>
  <c r="N227" i="87"/>
  <c r="O227" i="87"/>
  <c r="J131" i="84"/>
  <c r="Q131" i="84"/>
  <c r="J77" i="84"/>
  <c r="F14" i="85"/>
  <c r="M157" i="96"/>
  <c r="K159" i="96"/>
  <c r="M159" i="96" s="1"/>
  <c r="K155" i="96"/>
  <c r="M155" i="96" s="1"/>
  <c r="G98" i="84"/>
  <c r="G82" i="84"/>
  <c r="I82" i="84" s="1"/>
  <c r="I83" i="84"/>
  <c r="G91" i="87"/>
  <c r="I85" i="87"/>
  <c r="K179" i="90"/>
  <c r="M179" i="90" s="1"/>
  <c r="M171" i="90"/>
  <c r="K169" i="90"/>
  <c r="J18" i="99"/>
  <c r="Q18" i="99"/>
  <c r="O133" i="87"/>
  <c r="N133" i="87"/>
  <c r="E8" i="86"/>
  <c r="I14" i="85"/>
  <c r="J14" i="85"/>
  <c r="J133" i="84"/>
  <c r="Q133" i="84"/>
  <c r="J20" i="99"/>
  <c r="Q20" i="99"/>
  <c r="J91" i="84"/>
  <c r="Q91" i="84"/>
  <c r="J203" i="87"/>
  <c r="G196" i="90"/>
  <c r="Q203" i="87"/>
  <c r="O175" i="87"/>
  <c r="N175" i="87"/>
  <c r="H20" i="88"/>
  <c r="J139" i="84"/>
  <c r="I175" i="84"/>
  <c r="J89" i="99"/>
  <c r="Q89" i="99"/>
  <c r="M85" i="90"/>
  <c r="K91" i="90"/>
  <c r="G192" i="87"/>
  <c r="I192" i="87" s="1"/>
  <c r="G182" i="87"/>
  <c r="I184" i="87"/>
  <c r="J182" i="84"/>
  <c r="Q182" i="84"/>
  <c r="I248" i="87"/>
  <c r="G252" i="87"/>
  <c r="J234" i="99"/>
  <c r="Q234" i="99"/>
  <c r="K242" i="90"/>
  <c r="M242" i="90" s="1"/>
  <c r="K238" i="90"/>
  <c r="M238" i="90" s="1"/>
  <c r="M240" i="90"/>
  <c r="J177" i="99"/>
  <c r="Q177" i="99"/>
  <c r="J180" i="84"/>
  <c r="Q180" i="84"/>
  <c r="G229" i="84"/>
  <c r="I229" i="84" s="1"/>
  <c r="I237" i="84"/>
  <c r="M237" i="87"/>
  <c r="K229" i="87"/>
  <c r="M229" i="87" s="1"/>
  <c r="I135" i="87"/>
  <c r="G139" i="87"/>
  <c r="G133" i="87"/>
  <c r="I142" i="87"/>
  <c r="Q142" i="87" s="1"/>
  <c r="G147" i="87"/>
  <c r="I147" i="87" s="1"/>
  <c r="G140" i="87"/>
  <c r="I140" i="87" s="1"/>
  <c r="J140" i="87" s="1"/>
  <c r="I71" i="87"/>
  <c r="Q71" i="87" s="1"/>
  <c r="G77" i="87"/>
  <c r="G69" i="87"/>
  <c r="I69" i="87" s="1"/>
  <c r="J69" i="87" s="1"/>
  <c r="J246" i="84"/>
  <c r="Q246" i="84"/>
  <c r="M47" i="87"/>
  <c r="O45" i="87"/>
  <c r="N45" i="87"/>
  <c r="N182" i="87"/>
  <c r="O182" i="87"/>
  <c r="M135" i="90"/>
  <c r="K133" i="90"/>
  <c r="M133" i="90" s="1"/>
  <c r="K139" i="90"/>
  <c r="M139" i="90" s="1"/>
  <c r="N139" i="90" s="1"/>
  <c r="J231" i="84"/>
  <c r="G231" i="87"/>
  <c r="Q231" i="84"/>
  <c r="K230" i="90"/>
  <c r="N231" i="87"/>
  <c r="O231" i="87"/>
  <c r="G37" i="87"/>
  <c r="I37" i="87" s="1"/>
  <c r="G45" i="87"/>
  <c r="I39" i="87"/>
  <c r="J47" i="84"/>
  <c r="F11" i="85"/>
  <c r="N35" i="87"/>
  <c r="O35" i="87"/>
  <c r="O180" i="87"/>
  <c r="N180" i="87"/>
  <c r="J18" i="96"/>
  <c r="Q18" i="96"/>
  <c r="J126" i="84"/>
  <c r="F17" i="85"/>
  <c r="G126" i="87"/>
  <c r="I120" i="87"/>
  <c r="Q118" i="84"/>
  <c r="I10" i="91"/>
  <c r="E5" i="92"/>
  <c r="J10" i="91"/>
  <c r="G62" i="90"/>
  <c r="I60" i="90"/>
  <c r="G60" i="96" s="1"/>
  <c r="G54" i="90"/>
  <c r="I54" i="90" s="1"/>
  <c r="F10" i="88"/>
  <c r="J62" i="87"/>
  <c r="Q62" i="87"/>
  <c r="J52" i="87"/>
  <c r="Q52" i="87"/>
  <c r="K118" i="90"/>
  <c r="M118" i="90" s="1"/>
  <c r="M126" i="90"/>
  <c r="O120" i="90"/>
  <c r="N120" i="90"/>
  <c r="M219" i="87"/>
  <c r="K255" i="87"/>
  <c r="M255" i="87" s="1"/>
  <c r="M207" i="87"/>
  <c r="K197" i="87"/>
  <c r="M197" i="87" s="1"/>
  <c r="O209" i="87"/>
  <c r="N209" i="87"/>
  <c r="I19" i="85"/>
  <c r="J19" i="85"/>
  <c r="E12" i="86"/>
  <c r="G209" i="87"/>
  <c r="J209" i="84"/>
  <c r="Q209" i="84"/>
  <c r="G197" i="84"/>
  <c r="I197" i="84" s="1"/>
  <c r="I207" i="84"/>
  <c r="G255" i="84"/>
  <c r="I255" i="84" s="1"/>
  <c r="I219" i="84"/>
  <c r="O24" i="87"/>
  <c r="N24" i="87"/>
  <c r="G24" i="87"/>
  <c r="I24" i="87" s="1"/>
  <c r="G28" i="87"/>
  <c r="I28" i="87" s="1"/>
  <c r="J28" i="87" s="1"/>
  <c r="I26" i="87"/>
  <c r="G26" i="90" s="1"/>
  <c r="J16" i="84"/>
  <c r="G16" i="87"/>
  <c r="I14" i="84"/>
  <c r="J14" i="84" s="1"/>
  <c r="G12" i="84"/>
  <c r="O118" i="87"/>
  <c r="N118" i="87"/>
  <c r="H17" i="88"/>
  <c r="O126" i="87"/>
  <c r="I17" i="85"/>
  <c r="J17" i="85"/>
  <c r="H16" i="85"/>
  <c r="D5" i="86"/>
  <c r="G10" i="85"/>
  <c r="Q197" i="81"/>
  <c r="M14" i="75"/>
  <c r="Q14" i="75" s="1"/>
  <c r="O16" i="75"/>
  <c r="K16" i="78"/>
  <c r="Q16" i="75"/>
  <c r="I16" i="82"/>
  <c r="J16" i="82"/>
  <c r="J82" i="81"/>
  <c r="Q82" i="81"/>
  <c r="I12" i="82"/>
  <c r="J12" i="82"/>
  <c r="N16" i="75"/>
  <c r="F8" i="79"/>
  <c r="G8" i="79" s="1"/>
  <c r="D4" i="80"/>
  <c r="G9" i="79"/>
  <c r="G13" i="79"/>
  <c r="F12" i="79"/>
  <c r="D7" i="80"/>
  <c r="G16" i="82"/>
  <c r="K30" i="75"/>
  <c r="M30" i="75" s="1"/>
  <c r="O30" i="75" s="1"/>
  <c r="G20" i="82"/>
  <c r="D13" i="83"/>
  <c r="J83" i="81"/>
  <c r="I98" i="81"/>
  <c r="Q83" i="81"/>
  <c r="I30" i="81"/>
  <c r="G461" i="81"/>
  <c r="O12" i="75"/>
  <c r="N12" i="75"/>
  <c r="Q12" i="75"/>
  <c r="J237" i="84" l="1"/>
  <c r="Q237" i="84"/>
  <c r="G246" i="90"/>
  <c r="J248" i="87"/>
  <c r="H18" i="91"/>
  <c r="O179" i="90"/>
  <c r="N179" i="90"/>
  <c r="Q248" i="87"/>
  <c r="G226" i="90"/>
  <c r="I222" i="90"/>
  <c r="D6" i="86"/>
  <c r="G11" i="85"/>
  <c r="J229" i="84"/>
  <c r="Q229" i="84"/>
  <c r="E13" i="89"/>
  <c r="I20" i="88"/>
  <c r="J20" i="88"/>
  <c r="J85" i="87"/>
  <c r="G85" i="90"/>
  <c r="Q85" i="87"/>
  <c r="K244" i="90"/>
  <c r="M244" i="90" s="1"/>
  <c r="M246" i="90"/>
  <c r="K250" i="90"/>
  <c r="Q69" i="87"/>
  <c r="K69" i="90"/>
  <c r="M69" i="90" s="1"/>
  <c r="M71" i="90"/>
  <c r="K77" i="90"/>
  <c r="I60" i="96"/>
  <c r="G54" i="96"/>
  <c r="I54" i="96" s="1"/>
  <c r="G62" i="96"/>
  <c r="O133" i="90"/>
  <c r="N133" i="90"/>
  <c r="G67" i="87"/>
  <c r="I67" i="87" s="1"/>
  <c r="J67" i="87" s="1"/>
  <c r="I77" i="87"/>
  <c r="G83" i="87"/>
  <c r="I91" i="87"/>
  <c r="G39" i="90"/>
  <c r="J39" i="87"/>
  <c r="Q39" i="87"/>
  <c r="K135" i="96"/>
  <c r="N135" i="90"/>
  <c r="O135" i="90"/>
  <c r="G71" i="90"/>
  <c r="J71" i="87"/>
  <c r="G171" i="90"/>
  <c r="J184" i="87"/>
  <c r="Q184" i="87"/>
  <c r="I98" i="84"/>
  <c r="J83" i="84"/>
  <c r="Q83" i="84"/>
  <c r="Q140" i="87"/>
  <c r="O37" i="90"/>
  <c r="N37" i="90"/>
  <c r="I45" i="87"/>
  <c r="G47" i="87"/>
  <c r="I47" i="87" s="1"/>
  <c r="G35" i="87"/>
  <c r="I35" i="87" s="1"/>
  <c r="G180" i="87"/>
  <c r="I180" i="87" s="1"/>
  <c r="I182" i="87"/>
  <c r="J82" i="84"/>
  <c r="Q82" i="84"/>
  <c r="J159" i="90"/>
  <c r="Q159" i="90"/>
  <c r="K198" i="90"/>
  <c r="M194" i="90"/>
  <c r="K192" i="90"/>
  <c r="M142" i="90"/>
  <c r="K147" i="90"/>
  <c r="K140" i="90"/>
  <c r="M45" i="90"/>
  <c r="K35" i="90"/>
  <c r="M35" i="90" s="1"/>
  <c r="K47" i="90"/>
  <c r="E5" i="98"/>
  <c r="I10" i="97"/>
  <c r="J10" i="97"/>
  <c r="J37" i="87"/>
  <c r="Q37" i="87"/>
  <c r="F18" i="88"/>
  <c r="J192" i="87"/>
  <c r="Q192" i="87"/>
  <c r="I196" i="90"/>
  <c r="G192" i="90"/>
  <c r="I192" i="90" s="1"/>
  <c r="J192" i="90" s="1"/>
  <c r="G198" i="90"/>
  <c r="G157" i="96"/>
  <c r="J157" i="90"/>
  <c r="Q157" i="90"/>
  <c r="K96" i="90"/>
  <c r="M96" i="90" s="1"/>
  <c r="M95" i="90"/>
  <c r="K93" i="90"/>
  <c r="M93" i="90" s="1"/>
  <c r="K39" i="96"/>
  <c r="N39" i="90"/>
  <c r="O39" i="90"/>
  <c r="J142" i="87"/>
  <c r="G142" i="90"/>
  <c r="K240" i="96"/>
  <c r="O240" i="90"/>
  <c r="N240" i="90"/>
  <c r="M91" i="90"/>
  <c r="K83" i="90"/>
  <c r="N155" i="96"/>
  <c r="O155" i="96"/>
  <c r="Q155" i="96"/>
  <c r="K220" i="90"/>
  <c r="M220" i="90" s="1"/>
  <c r="M226" i="90"/>
  <c r="G93" i="87"/>
  <c r="I93" i="87" s="1"/>
  <c r="G96" i="87"/>
  <c r="I96" i="87" s="1"/>
  <c r="J96" i="87" s="1"/>
  <c r="I95" i="87"/>
  <c r="J166" i="87"/>
  <c r="Q166" i="87"/>
  <c r="O212" i="90"/>
  <c r="N212" i="90"/>
  <c r="O82" i="87"/>
  <c r="N82" i="87"/>
  <c r="O120" i="96"/>
  <c r="K120" i="99"/>
  <c r="N120" i="96"/>
  <c r="K52" i="99"/>
  <c r="M52" i="99" s="1"/>
  <c r="M62" i="99"/>
  <c r="I133" i="87"/>
  <c r="G131" i="87"/>
  <c r="I131" i="87" s="1"/>
  <c r="O238" i="90"/>
  <c r="N238" i="90"/>
  <c r="K85" i="96"/>
  <c r="O85" i="90"/>
  <c r="O91" i="90" s="1"/>
  <c r="N85" i="90"/>
  <c r="N159" i="96"/>
  <c r="O159" i="96"/>
  <c r="K222" i="96"/>
  <c r="O222" i="90"/>
  <c r="N222" i="90"/>
  <c r="Q222" i="90"/>
  <c r="J164" i="87"/>
  <c r="G151" i="90"/>
  <c r="Q164" i="87"/>
  <c r="N200" i="90"/>
  <c r="O200" i="90"/>
  <c r="N83" i="87"/>
  <c r="K118" i="96"/>
  <c r="M118" i="96" s="1"/>
  <c r="M126" i="96"/>
  <c r="O54" i="99"/>
  <c r="N54" i="99"/>
  <c r="I139" i="87"/>
  <c r="G175" i="87"/>
  <c r="O242" i="90"/>
  <c r="N242" i="90"/>
  <c r="K157" i="99"/>
  <c r="O157" i="96"/>
  <c r="N157" i="96"/>
  <c r="J162" i="87"/>
  <c r="Q162" i="87"/>
  <c r="K202" i="96"/>
  <c r="N202" i="90"/>
  <c r="O202" i="90"/>
  <c r="H13" i="88"/>
  <c r="N98" i="87"/>
  <c r="O98" i="87"/>
  <c r="O153" i="90"/>
  <c r="N153" i="90"/>
  <c r="Q77" i="87"/>
  <c r="N77" i="87"/>
  <c r="H14" i="88"/>
  <c r="O77" i="87"/>
  <c r="N60" i="99"/>
  <c r="O60" i="99"/>
  <c r="M230" i="90"/>
  <c r="K236" i="90"/>
  <c r="J135" i="87"/>
  <c r="G135" i="90"/>
  <c r="Q135" i="87"/>
  <c r="D8" i="86"/>
  <c r="G14" i="85"/>
  <c r="N252" i="87"/>
  <c r="O252" i="87"/>
  <c r="J239" i="87"/>
  <c r="Q239" i="87"/>
  <c r="O149" i="90"/>
  <c r="N149" i="90"/>
  <c r="N67" i="87"/>
  <c r="O67" i="87"/>
  <c r="Q67" i="87"/>
  <c r="O47" i="87"/>
  <c r="Q47" i="87"/>
  <c r="N47" i="87"/>
  <c r="H11" i="88"/>
  <c r="N229" i="87"/>
  <c r="O229" i="87"/>
  <c r="F20" i="85"/>
  <c r="J175" i="84"/>
  <c r="Q175" i="84"/>
  <c r="K167" i="90"/>
  <c r="M167" i="90" s="1"/>
  <c r="M169" i="90"/>
  <c r="J173" i="87"/>
  <c r="Q173" i="87"/>
  <c r="J241" i="87"/>
  <c r="G240" i="90"/>
  <c r="Q241" i="87"/>
  <c r="K151" i="96"/>
  <c r="N151" i="90"/>
  <c r="O151" i="90"/>
  <c r="N14" i="75"/>
  <c r="N30" i="75"/>
  <c r="O14" i="75"/>
  <c r="H9" i="76"/>
  <c r="I9" i="76" s="1"/>
  <c r="G237" i="87"/>
  <c r="I231" i="87"/>
  <c r="N237" i="87"/>
  <c r="O237" i="87"/>
  <c r="G246" i="87"/>
  <c r="I246" i="87" s="1"/>
  <c r="I252" i="87"/>
  <c r="J252" i="87" s="1"/>
  <c r="K171" i="96"/>
  <c r="N171" i="90"/>
  <c r="O171" i="90"/>
  <c r="J171" i="87"/>
  <c r="Q171" i="87"/>
  <c r="J243" i="87"/>
  <c r="Q243" i="87"/>
  <c r="I12" i="85"/>
  <c r="J12" i="85"/>
  <c r="G28" i="90"/>
  <c r="I28" i="90" s="1"/>
  <c r="J28" i="90" s="1"/>
  <c r="I26" i="90"/>
  <c r="G24" i="90"/>
  <c r="J120" i="87"/>
  <c r="G120" i="90"/>
  <c r="Q120" i="87"/>
  <c r="G118" i="87"/>
  <c r="I118" i="87" s="1"/>
  <c r="I126" i="87"/>
  <c r="G17" i="85"/>
  <c r="D10" i="86"/>
  <c r="G10" i="88"/>
  <c r="D5" i="89"/>
  <c r="J60" i="90"/>
  <c r="Q60" i="90"/>
  <c r="Q54" i="90"/>
  <c r="J54" i="90"/>
  <c r="G52" i="90"/>
  <c r="I52" i="90" s="1"/>
  <c r="I62" i="90"/>
  <c r="O126" i="90"/>
  <c r="H17" i="91"/>
  <c r="O118" i="90"/>
  <c r="N118" i="90"/>
  <c r="N197" i="87"/>
  <c r="O197" i="87"/>
  <c r="O207" i="87"/>
  <c r="N207" i="87"/>
  <c r="H19" i="88"/>
  <c r="O255" i="87"/>
  <c r="N255" i="87"/>
  <c r="N219" i="87"/>
  <c r="O219" i="87"/>
  <c r="J197" i="84"/>
  <c r="Q197" i="84"/>
  <c r="J219" i="84"/>
  <c r="Q219" i="84"/>
  <c r="J255" i="84"/>
  <c r="Q255" i="84"/>
  <c r="F19" i="85"/>
  <c r="J207" i="84"/>
  <c r="Q207" i="84"/>
  <c r="I209" i="87"/>
  <c r="G202" i="90" s="1"/>
  <c r="G207" i="87"/>
  <c r="G219" i="87"/>
  <c r="J26" i="87"/>
  <c r="Q26" i="87"/>
  <c r="J24" i="87"/>
  <c r="Q24" i="87"/>
  <c r="I12" i="84"/>
  <c r="J12" i="84" s="1"/>
  <c r="G30" i="84"/>
  <c r="I16" i="87"/>
  <c r="G16" i="90" s="1"/>
  <c r="G14" i="87"/>
  <c r="G22" i="87"/>
  <c r="I22" i="87" s="1"/>
  <c r="J22" i="87" s="1"/>
  <c r="J17" i="88"/>
  <c r="I17" i="88"/>
  <c r="H16" i="88"/>
  <c r="I16" i="85"/>
  <c r="J16" i="85"/>
  <c r="G12" i="79"/>
  <c r="F21" i="79"/>
  <c r="G21" i="79" s="1"/>
  <c r="Q30" i="75"/>
  <c r="F9" i="82"/>
  <c r="J30" i="81"/>
  <c r="I461" i="81"/>
  <c r="J461" i="81" s="1"/>
  <c r="K14" i="78"/>
  <c r="M16" i="78"/>
  <c r="K22" i="78"/>
  <c r="M22" i="78" s="1"/>
  <c r="K460" i="75"/>
  <c r="M460" i="75" s="1"/>
  <c r="N460" i="75" s="1"/>
  <c r="F13" i="82"/>
  <c r="J98" i="81"/>
  <c r="Q98" i="81"/>
  <c r="G230" i="90" l="1"/>
  <c r="J231" i="87"/>
  <c r="Q231" i="87"/>
  <c r="O226" i="90"/>
  <c r="N226" i="90"/>
  <c r="Q226" i="90"/>
  <c r="M47" i="90"/>
  <c r="N45" i="90"/>
  <c r="O45" i="90"/>
  <c r="J180" i="87"/>
  <c r="Q180" i="87"/>
  <c r="I83" i="87"/>
  <c r="G82" i="87"/>
  <c r="I82" i="87" s="1"/>
  <c r="G98" i="87"/>
  <c r="I237" i="87"/>
  <c r="G229" i="87"/>
  <c r="I229" i="87" s="1"/>
  <c r="I14" i="88"/>
  <c r="E8" i="89"/>
  <c r="J14" i="88"/>
  <c r="J139" i="87"/>
  <c r="I175" i="87"/>
  <c r="I151" i="90"/>
  <c r="G153" i="90"/>
  <c r="I153" i="90" s="1"/>
  <c r="G149" i="90"/>
  <c r="I149" i="90" s="1"/>
  <c r="M85" i="96"/>
  <c r="K91" i="96"/>
  <c r="N220" i="90"/>
  <c r="O220" i="90"/>
  <c r="G196" i="96"/>
  <c r="J196" i="90"/>
  <c r="Q196" i="90"/>
  <c r="K131" i="90"/>
  <c r="M131" i="90" s="1"/>
  <c r="M140" i="90"/>
  <c r="J35" i="87"/>
  <c r="Q35" i="87"/>
  <c r="I171" i="90"/>
  <c r="G179" i="90"/>
  <c r="I179" i="90" s="1"/>
  <c r="G169" i="90"/>
  <c r="F14" i="88"/>
  <c r="J77" i="87"/>
  <c r="M202" i="96"/>
  <c r="K200" i="96"/>
  <c r="M200" i="96" s="1"/>
  <c r="K212" i="96"/>
  <c r="M212" i="96" s="1"/>
  <c r="K161" i="90"/>
  <c r="M161" i="90" s="1"/>
  <c r="M147" i="90"/>
  <c r="J47" i="87"/>
  <c r="F11" i="88"/>
  <c r="K246" i="96"/>
  <c r="M250" i="90"/>
  <c r="N246" i="90"/>
  <c r="O246" i="90"/>
  <c r="G222" i="96"/>
  <c r="J222" i="90"/>
  <c r="N169" i="90"/>
  <c r="O169" i="90"/>
  <c r="K142" i="96"/>
  <c r="O142" i="90"/>
  <c r="N142" i="90"/>
  <c r="J45" i="87"/>
  <c r="Q45" i="87"/>
  <c r="I71" i="90"/>
  <c r="G77" i="90"/>
  <c r="G69" i="90"/>
  <c r="I69" i="90" s="1"/>
  <c r="J69" i="90" s="1"/>
  <c r="N244" i="90"/>
  <c r="O244" i="90"/>
  <c r="I226" i="90"/>
  <c r="J226" i="90" s="1"/>
  <c r="G220" i="90"/>
  <c r="I220" i="90" s="1"/>
  <c r="J220" i="90" s="1"/>
  <c r="O167" i="90"/>
  <c r="N167" i="90"/>
  <c r="M39" i="96"/>
  <c r="K37" i="96"/>
  <c r="M37" i="96" s="1"/>
  <c r="K45" i="96"/>
  <c r="D11" i="89"/>
  <c r="G18" i="88"/>
  <c r="M192" i="90"/>
  <c r="I16" i="90"/>
  <c r="G14" i="90"/>
  <c r="I14" i="90" s="1"/>
  <c r="J14" i="90" s="1"/>
  <c r="G22" i="90"/>
  <c r="I22" i="90" s="1"/>
  <c r="J22" i="90" s="1"/>
  <c r="I135" i="90"/>
  <c r="G133" i="90"/>
  <c r="G139" i="90"/>
  <c r="O126" i="96"/>
  <c r="H17" i="97"/>
  <c r="J131" i="87"/>
  <c r="Q131" i="87"/>
  <c r="K82" i="90"/>
  <c r="M82" i="90" s="1"/>
  <c r="K98" i="90"/>
  <c r="M98" i="90" s="1"/>
  <c r="M83" i="90"/>
  <c r="O93" i="90"/>
  <c r="N93" i="90"/>
  <c r="K194" i="96"/>
  <c r="Q194" i="90"/>
  <c r="N194" i="90"/>
  <c r="O194" i="90"/>
  <c r="I85" i="90"/>
  <c r="G91" i="90"/>
  <c r="J9" i="76"/>
  <c r="M171" i="96"/>
  <c r="K179" i="96"/>
  <c r="M179" i="96" s="1"/>
  <c r="K169" i="96"/>
  <c r="O118" i="96"/>
  <c r="N118" i="96"/>
  <c r="K226" i="96"/>
  <c r="M222" i="96"/>
  <c r="J133" i="87"/>
  <c r="Q133" i="87"/>
  <c r="N91" i="90"/>
  <c r="K95" i="96"/>
  <c r="O95" i="90"/>
  <c r="N95" i="90"/>
  <c r="M198" i="90"/>
  <c r="K253" i="90"/>
  <c r="M253" i="90" s="1"/>
  <c r="G52" i="96"/>
  <c r="I52" i="96" s="1"/>
  <c r="I62" i="96"/>
  <c r="D13" i="86"/>
  <c r="G20" i="85"/>
  <c r="M236" i="90"/>
  <c r="K228" i="90"/>
  <c r="M228" i="90" s="1"/>
  <c r="H10" i="100"/>
  <c r="N62" i="99"/>
  <c r="O62" i="99"/>
  <c r="O96" i="90"/>
  <c r="O83" i="90" s="1"/>
  <c r="N96" i="90"/>
  <c r="K139" i="96"/>
  <c r="M139" i="96" s="1"/>
  <c r="N139" i="96" s="1"/>
  <c r="M135" i="96"/>
  <c r="K133" i="96"/>
  <c r="J54" i="96"/>
  <c r="Q54" i="96"/>
  <c r="E11" i="92"/>
  <c r="I18" i="91"/>
  <c r="J18" i="91"/>
  <c r="J246" i="87"/>
  <c r="Q246" i="87"/>
  <c r="K230" i="96"/>
  <c r="O230" i="90"/>
  <c r="N230" i="90"/>
  <c r="M157" i="99"/>
  <c r="K159" i="99"/>
  <c r="M159" i="99" s="1"/>
  <c r="K155" i="99"/>
  <c r="M155" i="99" s="1"/>
  <c r="N52" i="99"/>
  <c r="O52" i="99"/>
  <c r="J60" i="96"/>
  <c r="G60" i="99"/>
  <c r="Q60" i="96"/>
  <c r="I202" i="90"/>
  <c r="G200" i="90"/>
  <c r="G212" i="90"/>
  <c r="I212" i="90" s="1"/>
  <c r="K153" i="96"/>
  <c r="M153" i="96" s="1"/>
  <c r="K149" i="96"/>
  <c r="M149" i="96" s="1"/>
  <c r="M151" i="96"/>
  <c r="J95" i="87"/>
  <c r="G95" i="90"/>
  <c r="Q95" i="87"/>
  <c r="M77" i="90"/>
  <c r="K67" i="90"/>
  <c r="M67" i="90" s="1"/>
  <c r="G250" i="90"/>
  <c r="I246" i="90"/>
  <c r="E4" i="77"/>
  <c r="E7" i="89"/>
  <c r="I13" i="88"/>
  <c r="H12" i="88"/>
  <c r="J13" i="88"/>
  <c r="M240" i="96"/>
  <c r="K238" i="96"/>
  <c r="M238" i="96" s="1"/>
  <c r="K242" i="96"/>
  <c r="M242" i="96" s="1"/>
  <c r="G159" i="96"/>
  <c r="I159" i="96" s="1"/>
  <c r="I157" i="96"/>
  <c r="J98" i="84"/>
  <c r="F13" i="85"/>
  <c r="Q98" i="84"/>
  <c r="I39" i="90"/>
  <c r="G37" i="90"/>
  <c r="I37" i="90" s="1"/>
  <c r="G45" i="90"/>
  <c r="K71" i="96"/>
  <c r="O71" i="90"/>
  <c r="N71" i="90"/>
  <c r="Q71" i="90"/>
  <c r="H8" i="76"/>
  <c r="I240" i="90"/>
  <c r="G242" i="90"/>
  <c r="I242" i="90" s="1"/>
  <c r="G238" i="90"/>
  <c r="I238" i="90" s="1"/>
  <c r="E6" i="89"/>
  <c r="I11" i="88"/>
  <c r="J11" i="88"/>
  <c r="Q252" i="87"/>
  <c r="K126" i="99"/>
  <c r="M120" i="99"/>
  <c r="J93" i="87"/>
  <c r="Q93" i="87"/>
  <c r="I142" i="90"/>
  <c r="G140" i="90"/>
  <c r="I140" i="90" s="1"/>
  <c r="J140" i="90" s="1"/>
  <c r="G147" i="90"/>
  <c r="I147" i="90" s="1"/>
  <c r="I198" i="90"/>
  <c r="J198" i="90" s="1"/>
  <c r="O35" i="90"/>
  <c r="N35" i="90"/>
  <c r="J182" i="87"/>
  <c r="Q182" i="87"/>
  <c r="J91" i="87"/>
  <c r="Q91" i="87"/>
  <c r="O69" i="90"/>
  <c r="N69" i="90"/>
  <c r="Q69" i="90"/>
  <c r="G26" i="96"/>
  <c r="J26" i="90"/>
  <c r="I24" i="90"/>
  <c r="J24" i="90" s="1"/>
  <c r="G12" i="90"/>
  <c r="G126" i="90"/>
  <c r="I120" i="90"/>
  <c r="G120" i="96" s="1"/>
  <c r="J118" i="87"/>
  <c r="Q118" i="87"/>
  <c r="F17" i="88"/>
  <c r="J126" i="87"/>
  <c r="Q126" i="87"/>
  <c r="J52" i="90"/>
  <c r="Q52" i="90"/>
  <c r="F10" i="91"/>
  <c r="J62" i="90"/>
  <c r="Q62" i="90"/>
  <c r="J17" i="91"/>
  <c r="I17" i="91"/>
  <c r="J19" i="88"/>
  <c r="E12" i="89"/>
  <c r="I19" i="88"/>
  <c r="I219" i="87"/>
  <c r="G255" i="87"/>
  <c r="I255" i="87" s="1"/>
  <c r="I207" i="87"/>
  <c r="G197" i="87"/>
  <c r="I197" i="87" s="1"/>
  <c r="F16" i="85"/>
  <c r="G16" i="85" s="1"/>
  <c r="D12" i="86"/>
  <c r="G19" i="85"/>
  <c r="J209" i="87"/>
  <c r="Q209" i="87"/>
  <c r="G12" i="87"/>
  <c r="I14" i="87"/>
  <c r="J16" i="87"/>
  <c r="I30" i="84"/>
  <c r="G461" i="84"/>
  <c r="I16" i="88"/>
  <c r="J16" i="88"/>
  <c r="Q460" i="75"/>
  <c r="O460" i="75"/>
  <c r="O16" i="78"/>
  <c r="N16" i="78"/>
  <c r="K16" i="81"/>
  <c r="Q16" i="78"/>
  <c r="D4" i="83"/>
  <c r="F8" i="82"/>
  <c r="G8" i="82" s="1"/>
  <c r="G9" i="82"/>
  <c r="G13" i="82"/>
  <c r="F12" i="82"/>
  <c r="D7" i="83"/>
  <c r="M14" i="78"/>
  <c r="K12" i="78"/>
  <c r="J8" i="76"/>
  <c r="H21" i="76"/>
  <c r="I8" i="76"/>
  <c r="N120" i="99" l="1"/>
  <c r="O120" i="99"/>
  <c r="K240" i="99"/>
  <c r="O240" i="96"/>
  <c r="N240" i="96"/>
  <c r="O228" i="90"/>
  <c r="N228" i="90"/>
  <c r="N82" i="90"/>
  <c r="O82" i="90"/>
  <c r="K184" i="90"/>
  <c r="M184" i="90" s="1"/>
  <c r="N147" i="90"/>
  <c r="O147" i="90"/>
  <c r="O140" i="90"/>
  <c r="N140" i="90"/>
  <c r="Q140" i="90"/>
  <c r="G151" i="96"/>
  <c r="J151" i="90"/>
  <c r="Q151" i="90"/>
  <c r="M126" i="99"/>
  <c r="K118" i="99"/>
  <c r="M118" i="99" s="1"/>
  <c r="K77" i="96"/>
  <c r="M71" i="96"/>
  <c r="K69" i="96"/>
  <c r="M69" i="96" s="1"/>
  <c r="K151" i="99"/>
  <c r="N151" i="96"/>
  <c r="O151" i="96"/>
  <c r="O155" i="99"/>
  <c r="N155" i="99"/>
  <c r="Q155" i="99"/>
  <c r="O236" i="90"/>
  <c r="N236" i="90"/>
  <c r="I91" i="90"/>
  <c r="G83" i="90"/>
  <c r="O192" i="90"/>
  <c r="Q192" i="90"/>
  <c r="N192" i="90"/>
  <c r="O161" i="90"/>
  <c r="H20" i="91"/>
  <c r="N161" i="90"/>
  <c r="N131" i="90"/>
  <c r="Q131" i="90"/>
  <c r="O131" i="90"/>
  <c r="J175" i="87"/>
  <c r="F20" i="88"/>
  <c r="Q175" i="87"/>
  <c r="I45" i="90"/>
  <c r="G47" i="90"/>
  <c r="I47" i="90" s="1"/>
  <c r="G35" i="90"/>
  <c r="I35" i="90" s="1"/>
  <c r="I12" i="88"/>
  <c r="J12" i="88"/>
  <c r="N149" i="96"/>
  <c r="O149" i="96"/>
  <c r="N159" i="99"/>
  <c r="O159" i="99"/>
  <c r="G85" i="96"/>
  <c r="J85" i="90"/>
  <c r="Q85" i="90"/>
  <c r="O212" i="96"/>
  <c r="N212" i="96"/>
  <c r="J37" i="90"/>
  <c r="Q37" i="90"/>
  <c r="O153" i="96"/>
  <c r="N153" i="96"/>
  <c r="N157" i="99"/>
  <c r="O157" i="99"/>
  <c r="M133" i="96"/>
  <c r="N200" i="96"/>
  <c r="O200" i="96"/>
  <c r="H11" i="91"/>
  <c r="Q47" i="90"/>
  <c r="O47" i="90"/>
  <c r="N47" i="90"/>
  <c r="G126" i="96"/>
  <c r="I120" i="96"/>
  <c r="G39" i="96"/>
  <c r="J39" i="90"/>
  <c r="Q39" i="90"/>
  <c r="J212" i="90"/>
  <c r="Q212" i="90"/>
  <c r="K135" i="99"/>
  <c r="O135" i="96"/>
  <c r="N135" i="96"/>
  <c r="J62" i="96"/>
  <c r="F10" i="97"/>
  <c r="Q62" i="96"/>
  <c r="K222" i="99"/>
  <c r="N222" i="96"/>
  <c r="Q222" i="96"/>
  <c r="O222" i="96"/>
  <c r="I17" i="97"/>
  <c r="J17" i="97"/>
  <c r="K35" i="96"/>
  <c r="M35" i="96" s="1"/>
  <c r="K47" i="96"/>
  <c r="M45" i="96"/>
  <c r="G67" i="90"/>
  <c r="I67" i="90" s="1"/>
  <c r="J67" i="90" s="1"/>
  <c r="I77" i="90"/>
  <c r="G226" i="96"/>
  <c r="I222" i="96"/>
  <c r="O202" i="96"/>
  <c r="K202" i="99"/>
  <c r="N202" i="96"/>
  <c r="I196" i="96"/>
  <c r="G198" i="96"/>
  <c r="G192" i="96"/>
  <c r="I200" i="90"/>
  <c r="J52" i="96"/>
  <c r="Q52" i="96"/>
  <c r="K220" i="96"/>
  <c r="M220" i="96" s="1"/>
  <c r="M226" i="96"/>
  <c r="O37" i="96"/>
  <c r="N37" i="96"/>
  <c r="G71" i="96"/>
  <c r="J71" i="90"/>
  <c r="J238" i="90"/>
  <c r="Q238" i="90"/>
  <c r="G13" i="85"/>
  <c r="D7" i="86"/>
  <c r="F12" i="85"/>
  <c r="G12" i="85" s="1"/>
  <c r="G246" i="96"/>
  <c r="J246" i="90"/>
  <c r="G202" i="96"/>
  <c r="J202" i="90"/>
  <c r="Q202" i="90"/>
  <c r="H19" i="91"/>
  <c r="O253" i="90"/>
  <c r="N253" i="90"/>
  <c r="K192" i="96"/>
  <c r="M194" i="96"/>
  <c r="K198" i="96"/>
  <c r="I139" i="90"/>
  <c r="G161" i="90"/>
  <c r="K39" i="99"/>
  <c r="O39" i="96"/>
  <c r="N39" i="96"/>
  <c r="Q246" i="90"/>
  <c r="G14" i="88"/>
  <c r="D8" i="89"/>
  <c r="Q220" i="90"/>
  <c r="J229" i="87"/>
  <c r="Q229" i="87"/>
  <c r="J242" i="90"/>
  <c r="Q242" i="90"/>
  <c r="G244" i="90"/>
  <c r="I244" i="90" s="1"/>
  <c r="I250" i="90"/>
  <c r="J250" i="90" s="1"/>
  <c r="K236" i="96"/>
  <c r="M230" i="96"/>
  <c r="O198" i="90"/>
  <c r="N198" i="90"/>
  <c r="Q198" i="90"/>
  <c r="G131" i="90"/>
  <c r="I131" i="90" s="1"/>
  <c r="J131" i="90" s="1"/>
  <c r="I133" i="90"/>
  <c r="I169" i="90"/>
  <c r="G167" i="90"/>
  <c r="I167" i="90" s="1"/>
  <c r="J237" i="87"/>
  <c r="Q237" i="87"/>
  <c r="G240" i="96"/>
  <c r="J240" i="90"/>
  <c r="Q240" i="90"/>
  <c r="J157" i="96"/>
  <c r="G157" i="99"/>
  <c r="Q157" i="96"/>
  <c r="O67" i="90"/>
  <c r="N67" i="90"/>
  <c r="Q67" i="90"/>
  <c r="I60" i="99"/>
  <c r="G62" i="99"/>
  <c r="G54" i="99"/>
  <c r="I54" i="99" s="1"/>
  <c r="G135" i="96"/>
  <c r="J135" i="90"/>
  <c r="Q135" i="90"/>
  <c r="Q250" i="90"/>
  <c r="N250" i="90"/>
  <c r="O250" i="90"/>
  <c r="Q179" i="90"/>
  <c r="J179" i="90"/>
  <c r="F18" i="91"/>
  <c r="M91" i="96"/>
  <c r="K83" i="96"/>
  <c r="G142" i="96"/>
  <c r="J142" i="90"/>
  <c r="J159" i="96"/>
  <c r="Q159" i="96"/>
  <c r="H14" i="91"/>
  <c r="O77" i="90"/>
  <c r="N77" i="90"/>
  <c r="K167" i="96"/>
  <c r="M167" i="96" s="1"/>
  <c r="M169" i="96"/>
  <c r="Q142" i="90"/>
  <c r="M246" i="96"/>
  <c r="K250" i="96"/>
  <c r="K244" i="96"/>
  <c r="M244" i="96" s="1"/>
  <c r="G171" i="96"/>
  <c r="J171" i="90"/>
  <c r="Q171" i="90"/>
  <c r="K85" i="99"/>
  <c r="O85" i="96"/>
  <c r="O91" i="96" s="1"/>
  <c r="N85" i="96"/>
  <c r="J82" i="87"/>
  <c r="Q82" i="87"/>
  <c r="O242" i="96"/>
  <c r="N242" i="96"/>
  <c r="H18" i="97"/>
  <c r="N179" i="96"/>
  <c r="O179" i="96"/>
  <c r="N83" i="90"/>
  <c r="D6" i="89"/>
  <c r="G11" i="88"/>
  <c r="J149" i="90"/>
  <c r="Q149" i="90"/>
  <c r="I98" i="87"/>
  <c r="J83" i="87"/>
  <c r="Q83" i="87"/>
  <c r="N238" i="96"/>
  <c r="O238" i="96"/>
  <c r="G93" i="90"/>
  <c r="I93" i="90" s="1"/>
  <c r="G96" i="90"/>
  <c r="I96" i="90" s="1"/>
  <c r="J96" i="90" s="1"/>
  <c r="I95" i="90"/>
  <c r="E5" i="101"/>
  <c r="I10" i="100"/>
  <c r="J10" i="100"/>
  <c r="K93" i="96"/>
  <c r="M93" i="96" s="1"/>
  <c r="K96" i="96"/>
  <c r="M96" i="96" s="1"/>
  <c r="M95" i="96"/>
  <c r="O171" i="96"/>
  <c r="K171" i="99"/>
  <c r="N171" i="96"/>
  <c r="H13" i="91"/>
  <c r="N98" i="90"/>
  <c r="O98" i="90"/>
  <c r="G16" i="96"/>
  <c r="J16" i="90"/>
  <c r="K140" i="96"/>
  <c r="M140" i="96" s="1"/>
  <c r="M142" i="96"/>
  <c r="K147" i="96"/>
  <c r="J153" i="90"/>
  <c r="Q153" i="90"/>
  <c r="I230" i="90"/>
  <c r="G236" i="90"/>
  <c r="I12" i="90"/>
  <c r="J12" i="90" s="1"/>
  <c r="G30" i="90"/>
  <c r="I30" i="90" s="1"/>
  <c r="G24" i="96"/>
  <c r="I26" i="96"/>
  <c r="G28" i="96"/>
  <c r="I28" i="96" s="1"/>
  <c r="J28" i="96" s="1"/>
  <c r="J120" i="90"/>
  <c r="Q120" i="90"/>
  <c r="D10" i="89"/>
  <c r="G17" i="88"/>
  <c r="I126" i="90"/>
  <c r="G118" i="90"/>
  <c r="I118" i="90" s="1"/>
  <c r="G10" i="91"/>
  <c r="D5" i="92"/>
  <c r="Q255" i="87"/>
  <c r="F19" i="88"/>
  <c r="J255" i="87"/>
  <c r="Q197" i="87"/>
  <c r="J197" i="87"/>
  <c r="J207" i="87"/>
  <c r="Q207" i="87"/>
  <c r="J219" i="87"/>
  <c r="Q219" i="87"/>
  <c r="J14" i="87"/>
  <c r="F9" i="85"/>
  <c r="J30" i="84"/>
  <c r="I461" i="84"/>
  <c r="J461" i="84" s="1"/>
  <c r="I12" i="87"/>
  <c r="G30" i="87"/>
  <c r="G12" i="82"/>
  <c r="F21" i="82"/>
  <c r="G21" i="82" s="1"/>
  <c r="K30" i="78"/>
  <c r="M12" i="78"/>
  <c r="O14" i="78"/>
  <c r="N14" i="78"/>
  <c r="Q14" i="78"/>
  <c r="K14" i="81"/>
  <c r="K22" i="81"/>
  <c r="M22" i="81" s="1"/>
  <c r="M16" i="81"/>
  <c r="K16" i="84" s="1"/>
  <c r="I21" i="76"/>
  <c r="J21" i="76"/>
  <c r="M85" i="99" l="1"/>
  <c r="K91" i="99"/>
  <c r="E8" i="92"/>
  <c r="I14" i="91"/>
  <c r="J14" i="91"/>
  <c r="I198" i="96"/>
  <c r="J198" i="96" s="1"/>
  <c r="N35" i="96"/>
  <c r="O35" i="96"/>
  <c r="O118" i="99"/>
  <c r="N118" i="99"/>
  <c r="K230" i="99"/>
  <c r="O230" i="96"/>
  <c r="N230" i="96"/>
  <c r="E12" i="92"/>
  <c r="J19" i="91"/>
  <c r="I19" i="91"/>
  <c r="H16" i="91"/>
  <c r="G77" i="96"/>
  <c r="I71" i="96"/>
  <c r="G69" i="96"/>
  <c r="I69" i="96" s="1"/>
  <c r="J69" i="96" s="1"/>
  <c r="J196" i="96"/>
  <c r="G196" i="99"/>
  <c r="Q196" i="96"/>
  <c r="E6" i="92"/>
  <c r="I11" i="91"/>
  <c r="J11" i="91"/>
  <c r="H17" i="100"/>
  <c r="O126" i="99"/>
  <c r="M171" i="99"/>
  <c r="K179" i="99"/>
  <c r="M179" i="99" s="1"/>
  <c r="K169" i="99"/>
  <c r="K161" i="96"/>
  <c r="M161" i="96" s="1"/>
  <c r="M147" i="96"/>
  <c r="K228" i="96"/>
  <c r="M228" i="96" s="1"/>
  <c r="M236" i="96"/>
  <c r="M135" i="99"/>
  <c r="K139" i="99"/>
  <c r="K133" i="99"/>
  <c r="K142" i="99"/>
  <c r="O142" i="96"/>
  <c r="N142" i="96"/>
  <c r="K95" i="99"/>
  <c r="N95" i="96"/>
  <c r="O95" i="96"/>
  <c r="E11" i="98"/>
  <c r="I18" i="97"/>
  <c r="J18" i="97"/>
  <c r="I171" i="96"/>
  <c r="G169" i="96"/>
  <c r="G179" i="96"/>
  <c r="I179" i="96" s="1"/>
  <c r="G133" i="96"/>
  <c r="G139" i="96"/>
  <c r="I135" i="96"/>
  <c r="G238" i="96"/>
  <c r="I238" i="96" s="1"/>
  <c r="G242" i="96"/>
  <c r="I242" i="96" s="1"/>
  <c r="I240" i="96"/>
  <c r="N96" i="96"/>
  <c r="O96" i="96"/>
  <c r="O83" i="96" s="1"/>
  <c r="O244" i="96"/>
  <c r="N244" i="96"/>
  <c r="I142" i="96"/>
  <c r="G140" i="96"/>
  <c r="I140" i="96" s="1"/>
  <c r="J140" i="96" s="1"/>
  <c r="G147" i="96"/>
  <c r="I147" i="96" s="1"/>
  <c r="J54" i="99"/>
  <c r="Q54" i="99"/>
  <c r="J244" i="90"/>
  <c r="Q244" i="90"/>
  <c r="M39" i="99"/>
  <c r="K45" i="99"/>
  <c r="K37" i="99"/>
  <c r="M37" i="99" s="1"/>
  <c r="G200" i="96"/>
  <c r="I200" i="96" s="1"/>
  <c r="I202" i="96"/>
  <c r="G212" i="96"/>
  <c r="I212" i="96" s="1"/>
  <c r="M202" i="99"/>
  <c r="K212" i="99"/>
  <c r="M212" i="99" s="1"/>
  <c r="K200" i="99"/>
  <c r="E13" i="92"/>
  <c r="I20" i="91"/>
  <c r="J20" i="91"/>
  <c r="I151" i="96"/>
  <c r="G149" i="96"/>
  <c r="I149" i="96" s="1"/>
  <c r="G153" i="96"/>
  <c r="I153" i="96" s="1"/>
  <c r="N93" i="96"/>
  <c r="O93" i="96"/>
  <c r="F13" i="88"/>
  <c r="J98" i="87"/>
  <c r="Q98" i="87"/>
  <c r="K98" i="96"/>
  <c r="M98" i="96" s="1"/>
  <c r="M83" i="96"/>
  <c r="N83" i="96" s="1"/>
  <c r="K82" i="96"/>
  <c r="M82" i="96" s="1"/>
  <c r="G52" i="99"/>
  <c r="I52" i="99" s="1"/>
  <c r="I62" i="99"/>
  <c r="N226" i="96"/>
  <c r="O226" i="96"/>
  <c r="N133" i="96"/>
  <c r="O133" i="96"/>
  <c r="J35" i="90"/>
  <c r="Q35" i="90"/>
  <c r="O246" i="96"/>
  <c r="K246" i="99"/>
  <c r="N246" i="96"/>
  <c r="Q246" i="96"/>
  <c r="M250" i="96"/>
  <c r="N91" i="96"/>
  <c r="J60" i="99"/>
  <c r="Q60" i="99"/>
  <c r="J167" i="90"/>
  <c r="Q167" i="90"/>
  <c r="I161" i="90"/>
  <c r="J139" i="90"/>
  <c r="I246" i="96"/>
  <c r="G250" i="96"/>
  <c r="O220" i="96"/>
  <c r="N220" i="96"/>
  <c r="J222" i="96"/>
  <c r="G222" i="99"/>
  <c r="K131" i="96"/>
  <c r="M131" i="96" s="1"/>
  <c r="J47" i="90"/>
  <c r="F11" i="91"/>
  <c r="G18" i="91"/>
  <c r="D11" i="92"/>
  <c r="J169" i="90"/>
  <c r="Q169" i="90"/>
  <c r="K253" i="96"/>
  <c r="M253" i="96" s="1"/>
  <c r="M198" i="96"/>
  <c r="G220" i="96"/>
  <c r="I220" i="96" s="1"/>
  <c r="J220" i="96" s="1"/>
  <c r="I226" i="96"/>
  <c r="J226" i="96" s="1"/>
  <c r="K226" i="99"/>
  <c r="M222" i="99"/>
  <c r="I39" i="96"/>
  <c r="G37" i="96"/>
  <c r="I37" i="96" s="1"/>
  <c r="G45" i="96"/>
  <c r="J45" i="90"/>
  <c r="Q45" i="90"/>
  <c r="O169" i="96"/>
  <c r="N169" i="96"/>
  <c r="J133" i="90"/>
  <c r="Q133" i="90"/>
  <c r="O194" i="96"/>
  <c r="K194" i="99"/>
  <c r="Q194" i="96"/>
  <c r="N194" i="96"/>
  <c r="Q77" i="90"/>
  <c r="F14" i="91"/>
  <c r="J77" i="90"/>
  <c r="J120" i="96"/>
  <c r="G120" i="99"/>
  <c r="Q120" i="96"/>
  <c r="G91" i="96"/>
  <c r="I85" i="96"/>
  <c r="K153" i="99"/>
  <c r="M153" i="99" s="1"/>
  <c r="K149" i="99"/>
  <c r="M149" i="99" s="1"/>
  <c r="M151" i="99"/>
  <c r="K242" i="99"/>
  <c r="M242" i="99" s="1"/>
  <c r="K238" i="99"/>
  <c r="M238" i="99" s="1"/>
  <c r="M240" i="99"/>
  <c r="N140" i="96"/>
  <c r="O140" i="96"/>
  <c r="J26" i="96"/>
  <c r="G26" i="99"/>
  <c r="G95" i="96"/>
  <c r="J95" i="90"/>
  <c r="Q95" i="90"/>
  <c r="N167" i="96"/>
  <c r="O167" i="96"/>
  <c r="M192" i="96"/>
  <c r="K184" i="96"/>
  <c r="M184" i="96" s="1"/>
  <c r="J200" i="90"/>
  <c r="Q200" i="90"/>
  <c r="D5" i="98"/>
  <c r="G10" i="97"/>
  <c r="G118" i="96"/>
  <c r="I118" i="96" s="1"/>
  <c r="I126" i="96"/>
  <c r="D13" i="89"/>
  <c r="G20" i="88"/>
  <c r="G82" i="90"/>
  <c r="I82" i="90" s="1"/>
  <c r="I83" i="90"/>
  <c r="G98" i="90"/>
  <c r="N69" i="96"/>
  <c r="O69" i="96"/>
  <c r="Q69" i="96"/>
  <c r="I236" i="90"/>
  <c r="G228" i="90"/>
  <c r="G253" i="90"/>
  <c r="I253" i="90" s="1"/>
  <c r="E7" i="92"/>
  <c r="I13" i="91"/>
  <c r="H12" i="91"/>
  <c r="J13" i="91"/>
  <c r="M47" i="96"/>
  <c r="O45" i="96"/>
  <c r="N45" i="96"/>
  <c r="J91" i="90"/>
  <c r="Q91" i="90"/>
  <c r="O71" i="96"/>
  <c r="K71" i="99"/>
  <c r="N71" i="96"/>
  <c r="Q71" i="96"/>
  <c r="O184" i="90"/>
  <c r="N184" i="90"/>
  <c r="I16" i="96"/>
  <c r="G22" i="96"/>
  <c r="I22" i="96" s="1"/>
  <c r="J22" i="96" s="1"/>
  <c r="G14" i="96"/>
  <c r="I14" i="96" s="1"/>
  <c r="J14" i="96" s="1"/>
  <c r="G459" i="90"/>
  <c r="G230" i="96"/>
  <c r="J230" i="90"/>
  <c r="Q230" i="90"/>
  <c r="J93" i="90"/>
  <c r="Q93" i="90"/>
  <c r="G159" i="99"/>
  <c r="I159" i="99" s="1"/>
  <c r="I157" i="99"/>
  <c r="I192" i="96"/>
  <c r="J192" i="96" s="1"/>
  <c r="M77" i="96"/>
  <c r="K67" i="96"/>
  <c r="M67" i="96" s="1"/>
  <c r="J30" i="90"/>
  <c r="F9" i="91"/>
  <c r="I24" i="96"/>
  <c r="J24" i="96" s="1"/>
  <c r="G12" i="96"/>
  <c r="J118" i="90"/>
  <c r="Q118" i="90"/>
  <c r="F17" i="91"/>
  <c r="J126" i="90"/>
  <c r="Q126" i="90"/>
  <c r="D12" i="89"/>
  <c r="G19" i="88"/>
  <c r="F16" i="88"/>
  <c r="G16" i="88" s="1"/>
  <c r="J12" i="87"/>
  <c r="I30" i="87"/>
  <c r="G461" i="87"/>
  <c r="D4" i="86"/>
  <c r="G9" i="85"/>
  <c r="F8" i="85"/>
  <c r="M16" i="84"/>
  <c r="K16" i="87" s="1"/>
  <c r="K22" i="84"/>
  <c r="M22" i="84" s="1"/>
  <c r="K14" i="84"/>
  <c r="O16" i="81"/>
  <c r="Q16" i="81"/>
  <c r="N16" i="81"/>
  <c r="K12" i="81"/>
  <c r="M14" i="81"/>
  <c r="O12" i="78"/>
  <c r="N12" i="78"/>
  <c r="Q12" i="78"/>
  <c r="K460" i="78"/>
  <c r="M460" i="78" s="1"/>
  <c r="M30" i="78"/>
  <c r="I12" i="91" l="1"/>
  <c r="J12" i="91"/>
  <c r="O151" i="99"/>
  <c r="N151" i="99"/>
  <c r="J39" i="96"/>
  <c r="G39" i="99"/>
  <c r="Q39" i="96"/>
  <c r="N212" i="99"/>
  <c r="O212" i="99"/>
  <c r="G135" i="99"/>
  <c r="J135" i="96"/>
  <c r="Q135" i="96"/>
  <c r="K93" i="99"/>
  <c r="M93" i="99" s="1"/>
  <c r="M95" i="99"/>
  <c r="K96" i="99"/>
  <c r="M96" i="99" s="1"/>
  <c r="K167" i="99"/>
  <c r="M167" i="99" s="1"/>
  <c r="M169" i="99"/>
  <c r="O149" i="99"/>
  <c r="N149" i="99"/>
  <c r="K192" i="99"/>
  <c r="M192" i="99" s="1"/>
  <c r="K198" i="99"/>
  <c r="M194" i="99"/>
  <c r="O222" i="99"/>
  <c r="N222" i="99"/>
  <c r="Q131" i="96"/>
  <c r="N131" i="96"/>
  <c r="O131" i="96"/>
  <c r="D7" i="89"/>
  <c r="G13" i="88"/>
  <c r="F12" i="88"/>
  <c r="G12" i="88" s="1"/>
  <c r="N202" i="99"/>
  <c r="O202" i="99"/>
  <c r="I139" i="96"/>
  <c r="G161" i="96"/>
  <c r="H18" i="100"/>
  <c r="O179" i="99"/>
  <c r="N179" i="99"/>
  <c r="J71" i="96"/>
  <c r="G71" i="99"/>
  <c r="J126" i="96"/>
  <c r="F17" i="97"/>
  <c r="Q126" i="96"/>
  <c r="N153" i="99"/>
  <c r="O153" i="99"/>
  <c r="K220" i="99"/>
  <c r="M220" i="99" s="1"/>
  <c r="M226" i="99"/>
  <c r="I222" i="99"/>
  <c r="J222" i="99" s="1"/>
  <c r="G226" i="99"/>
  <c r="J212" i="96"/>
  <c r="Q212" i="96"/>
  <c r="J142" i="96"/>
  <c r="G142" i="99"/>
  <c r="I133" i="96"/>
  <c r="G131" i="96"/>
  <c r="I131" i="96" s="1"/>
  <c r="J131" i="96" s="1"/>
  <c r="Q142" i="96"/>
  <c r="O171" i="99"/>
  <c r="N171" i="99"/>
  <c r="I77" i="96"/>
  <c r="G67" i="96"/>
  <c r="I67" i="96" s="1"/>
  <c r="J67" i="96" s="1"/>
  <c r="M71" i="99"/>
  <c r="K69" i="99"/>
  <c r="M69" i="99" s="1"/>
  <c r="K77" i="99"/>
  <c r="F19" i="91"/>
  <c r="J253" i="90"/>
  <c r="Q253" i="90"/>
  <c r="J118" i="96"/>
  <c r="Q118" i="96"/>
  <c r="I95" i="96"/>
  <c r="G96" i="96"/>
  <c r="I96" i="96" s="1"/>
  <c r="J96" i="96" s="1"/>
  <c r="G93" i="96"/>
  <c r="I93" i="96" s="1"/>
  <c r="J85" i="96"/>
  <c r="G85" i="99"/>
  <c r="Q85" i="96"/>
  <c r="J202" i="96"/>
  <c r="G202" i="99"/>
  <c r="Q202" i="96"/>
  <c r="J179" i="96"/>
  <c r="F18" i="97"/>
  <c r="Q179" i="96"/>
  <c r="I16" i="91"/>
  <c r="J16" i="91"/>
  <c r="I228" i="90"/>
  <c r="G184" i="90"/>
  <c r="I184" i="90" s="1"/>
  <c r="G28" i="99"/>
  <c r="I28" i="99" s="1"/>
  <c r="J28" i="99" s="1"/>
  <c r="G24" i="99"/>
  <c r="I24" i="99" s="1"/>
  <c r="J24" i="99" s="1"/>
  <c r="I26" i="99"/>
  <c r="J26" i="99" s="1"/>
  <c r="G83" i="96"/>
  <c r="I91" i="96"/>
  <c r="Q220" i="96"/>
  <c r="Q226" i="96"/>
  <c r="J200" i="96"/>
  <c r="Q200" i="96"/>
  <c r="G167" i="96"/>
  <c r="I167" i="96" s="1"/>
  <c r="I169" i="96"/>
  <c r="K140" i="99"/>
  <c r="M140" i="99" s="1"/>
  <c r="K147" i="99"/>
  <c r="M147" i="99" s="1"/>
  <c r="M142" i="99"/>
  <c r="G236" i="96"/>
  <c r="I230" i="96"/>
  <c r="J236" i="90"/>
  <c r="Q236" i="90"/>
  <c r="N198" i="96"/>
  <c r="O198" i="96"/>
  <c r="Q198" i="96"/>
  <c r="O250" i="96"/>
  <c r="N250" i="96"/>
  <c r="J153" i="96"/>
  <c r="Q153" i="96"/>
  <c r="O37" i="99"/>
  <c r="N37" i="99"/>
  <c r="J171" i="96"/>
  <c r="G171" i="99"/>
  <c r="Q171" i="96"/>
  <c r="M133" i="99"/>
  <c r="I17" i="100"/>
  <c r="J17" i="100"/>
  <c r="G253" i="96"/>
  <c r="I253" i="96" s="1"/>
  <c r="J159" i="99"/>
  <c r="Q159" i="99"/>
  <c r="I120" i="99"/>
  <c r="G126" i="99"/>
  <c r="H19" i="97"/>
  <c r="N253" i="96"/>
  <c r="O253" i="96"/>
  <c r="J62" i="99"/>
  <c r="F10" i="100"/>
  <c r="Q62" i="99"/>
  <c r="J149" i="96"/>
  <c r="Q149" i="96"/>
  <c r="K47" i="99"/>
  <c r="K35" i="99"/>
  <c r="M35" i="99" s="1"/>
  <c r="M45" i="99"/>
  <c r="M139" i="99"/>
  <c r="N139" i="99" s="1"/>
  <c r="O67" i="96"/>
  <c r="N67" i="96"/>
  <c r="Q67" i="96"/>
  <c r="I250" i="96"/>
  <c r="J250" i="96" s="1"/>
  <c r="G244" i="96"/>
  <c r="I244" i="96" s="1"/>
  <c r="J52" i="99"/>
  <c r="Q52" i="99"/>
  <c r="J151" i="96"/>
  <c r="G151" i="99"/>
  <c r="Q151" i="96"/>
  <c r="O39" i="99"/>
  <c r="N39" i="99"/>
  <c r="O135" i="99"/>
  <c r="N135" i="99"/>
  <c r="N184" i="96"/>
  <c r="O184" i="96"/>
  <c r="Q140" i="96"/>
  <c r="J246" i="96"/>
  <c r="G246" i="99"/>
  <c r="M246" i="99"/>
  <c r="K250" i="99"/>
  <c r="K244" i="99"/>
  <c r="M244" i="99" s="1"/>
  <c r="O82" i="96"/>
  <c r="N82" i="96"/>
  <c r="O236" i="96"/>
  <c r="N236" i="96"/>
  <c r="H14" i="97"/>
  <c r="N77" i="96"/>
  <c r="O77" i="96"/>
  <c r="Q77" i="96"/>
  <c r="J16" i="96"/>
  <c r="G16" i="99"/>
  <c r="H11" i="97"/>
  <c r="N47" i="96"/>
  <c r="O47" i="96"/>
  <c r="Q192" i="96"/>
  <c r="N192" i="96"/>
  <c r="O192" i="96"/>
  <c r="O240" i="99"/>
  <c r="N240" i="99"/>
  <c r="D8" i="92"/>
  <c r="G14" i="91"/>
  <c r="G240" i="99"/>
  <c r="J240" i="96"/>
  <c r="Q240" i="96"/>
  <c r="N228" i="96"/>
  <c r="O228" i="96"/>
  <c r="J83" i="90"/>
  <c r="I98" i="90"/>
  <c r="Q83" i="90"/>
  <c r="N238" i="99"/>
  <c r="O238" i="99"/>
  <c r="I45" i="96"/>
  <c r="G47" i="96"/>
  <c r="I47" i="96" s="1"/>
  <c r="G35" i="96"/>
  <c r="I35" i="96" s="1"/>
  <c r="F20" i="91"/>
  <c r="J161" i="90"/>
  <c r="Q161" i="90"/>
  <c r="H13" i="97"/>
  <c r="O98" i="96"/>
  <c r="N98" i="96"/>
  <c r="J242" i="96"/>
  <c r="Q242" i="96"/>
  <c r="O147" i="96"/>
  <c r="N147" i="96"/>
  <c r="I196" i="99"/>
  <c r="G192" i="99"/>
  <c r="G198" i="99"/>
  <c r="K236" i="99"/>
  <c r="M230" i="99"/>
  <c r="K83" i="99"/>
  <c r="M91" i="99"/>
  <c r="J157" i="99"/>
  <c r="Q157" i="99"/>
  <c r="J82" i="90"/>
  <c r="Q82" i="90"/>
  <c r="N242" i="99"/>
  <c r="O242" i="99"/>
  <c r="J37" i="96"/>
  <c r="Q37" i="96"/>
  <c r="G11" i="91"/>
  <c r="D6" i="92"/>
  <c r="M200" i="99"/>
  <c r="J238" i="96"/>
  <c r="Q238" i="96"/>
  <c r="H20" i="97"/>
  <c r="N161" i="96"/>
  <c r="O161" i="96"/>
  <c r="O85" i="99"/>
  <c r="O91" i="99" s="1"/>
  <c r="N85" i="99"/>
  <c r="D4" i="92"/>
  <c r="G9" i="91"/>
  <c r="F8" i="91"/>
  <c r="G8" i="91" s="1"/>
  <c r="G30" i="96"/>
  <c r="I12" i="96"/>
  <c r="J12" i="96" s="1"/>
  <c r="D10" i="92"/>
  <c r="G17" i="91"/>
  <c r="F16" i="91"/>
  <c r="K22" i="87"/>
  <c r="M22" i="87" s="1"/>
  <c r="M16" i="87"/>
  <c r="K16" i="90" s="1"/>
  <c r="K14" i="87"/>
  <c r="F21" i="85"/>
  <c r="G21" i="85" s="1"/>
  <c r="G8" i="85"/>
  <c r="F9" i="88"/>
  <c r="J30" i="87"/>
  <c r="I461" i="87"/>
  <c r="K12" i="84"/>
  <c r="M14" i="84"/>
  <c r="O16" i="84"/>
  <c r="N16" i="84"/>
  <c r="Q16" i="84"/>
  <c r="H9" i="79"/>
  <c r="O30" i="78"/>
  <c r="N30" i="78"/>
  <c r="Q30" i="78"/>
  <c r="K30" i="81"/>
  <c r="M12" i="81"/>
  <c r="N460" i="78"/>
  <c r="O460" i="78"/>
  <c r="Q460" i="78"/>
  <c r="Q14" i="81"/>
  <c r="N14" i="81"/>
  <c r="O14" i="81"/>
  <c r="K82" i="99" l="1"/>
  <c r="M82" i="99" s="1"/>
  <c r="M83" i="99"/>
  <c r="K98" i="99"/>
  <c r="M98" i="99" s="1"/>
  <c r="J98" i="90"/>
  <c r="F13" i="91"/>
  <c r="Q98" i="90"/>
  <c r="I459" i="90"/>
  <c r="J459" i="90" s="1"/>
  <c r="G153" i="99"/>
  <c r="I153" i="99" s="1"/>
  <c r="G149" i="99"/>
  <c r="I149" i="99" s="1"/>
  <c r="I151" i="99"/>
  <c r="O35" i="99"/>
  <c r="N35" i="99"/>
  <c r="J120" i="99"/>
  <c r="Q120" i="99"/>
  <c r="J91" i="96"/>
  <c r="Q91" i="96"/>
  <c r="J133" i="96"/>
  <c r="Q133" i="96"/>
  <c r="K253" i="99"/>
  <c r="M253" i="99" s="1"/>
  <c r="M198" i="99"/>
  <c r="G139" i="99"/>
  <c r="I135" i="99"/>
  <c r="G133" i="99"/>
  <c r="N230" i="99"/>
  <c r="O230" i="99"/>
  <c r="E7" i="98"/>
  <c r="I13" i="97"/>
  <c r="H12" i="97"/>
  <c r="J13" i="97"/>
  <c r="E8" i="98"/>
  <c r="I14" i="97"/>
  <c r="J14" i="97"/>
  <c r="J230" i="96"/>
  <c r="G230" i="99"/>
  <c r="Q230" i="96"/>
  <c r="I83" i="96"/>
  <c r="G82" i="96"/>
  <c r="I82" i="96" s="1"/>
  <c r="G98" i="96"/>
  <c r="I202" i="99"/>
  <c r="G212" i="99"/>
  <c r="I212" i="99" s="1"/>
  <c r="G200" i="99"/>
  <c r="I200" i="99" s="1"/>
  <c r="J200" i="99" s="1"/>
  <c r="G19" i="91"/>
  <c r="D12" i="92"/>
  <c r="I142" i="99"/>
  <c r="J142" i="99" s="1"/>
  <c r="G147" i="99"/>
  <c r="I147" i="99" s="1"/>
  <c r="G140" i="99"/>
  <c r="I140" i="99" s="1"/>
  <c r="J140" i="99" s="1"/>
  <c r="D10" i="98"/>
  <c r="G17" i="97"/>
  <c r="N192" i="99"/>
  <c r="O192" i="99"/>
  <c r="M236" i="99"/>
  <c r="K228" i="99"/>
  <c r="G228" i="96"/>
  <c r="I236" i="96"/>
  <c r="K67" i="99"/>
  <c r="M67" i="99" s="1"/>
  <c r="M77" i="99"/>
  <c r="J253" i="96"/>
  <c r="F19" i="97"/>
  <c r="O142" i="99"/>
  <c r="N142" i="99"/>
  <c r="O69" i="99"/>
  <c r="N69" i="99"/>
  <c r="I71" i="99"/>
  <c r="J71" i="99" s="1"/>
  <c r="G77" i="99"/>
  <c r="G69" i="99"/>
  <c r="I69" i="99" s="1"/>
  <c r="J69" i="99" s="1"/>
  <c r="G20" i="91"/>
  <c r="D13" i="92"/>
  <c r="J244" i="96"/>
  <c r="Q244" i="96"/>
  <c r="N147" i="99"/>
  <c r="O147" i="99"/>
  <c r="I85" i="99"/>
  <c r="G91" i="99"/>
  <c r="N71" i="99"/>
  <c r="O71" i="99"/>
  <c r="Q71" i="99"/>
  <c r="J196" i="99"/>
  <c r="Q196" i="99"/>
  <c r="J35" i="96"/>
  <c r="Q35" i="96"/>
  <c r="D5" i="101"/>
  <c r="G10" i="100"/>
  <c r="Q250" i="96"/>
  <c r="O140" i="99"/>
  <c r="N140" i="99"/>
  <c r="Q140" i="99"/>
  <c r="J184" i="90"/>
  <c r="Q184" i="90"/>
  <c r="I226" i="99"/>
  <c r="J226" i="99" s="1"/>
  <c r="G220" i="99"/>
  <c r="I220" i="99" s="1"/>
  <c r="J220" i="99" s="1"/>
  <c r="N169" i="99"/>
  <c r="O169" i="99"/>
  <c r="I39" i="99"/>
  <c r="G37" i="99"/>
  <c r="I37" i="99" s="1"/>
  <c r="G45" i="99"/>
  <c r="J47" i="96"/>
  <c r="F11" i="97"/>
  <c r="Q47" i="96"/>
  <c r="J169" i="96"/>
  <c r="Q169" i="96"/>
  <c r="J228" i="90"/>
  <c r="Q228" i="90"/>
  <c r="J93" i="96"/>
  <c r="Q93" i="96"/>
  <c r="J77" i="96"/>
  <c r="F14" i="97"/>
  <c r="N167" i="99"/>
  <c r="O167" i="99"/>
  <c r="I198" i="99"/>
  <c r="J198" i="99" s="1"/>
  <c r="E13" i="98"/>
  <c r="I20" i="97"/>
  <c r="J20" i="97"/>
  <c r="J45" i="96"/>
  <c r="Q45" i="96"/>
  <c r="I240" i="99"/>
  <c r="G238" i="99"/>
  <c r="I238" i="99" s="1"/>
  <c r="G242" i="99"/>
  <c r="I242" i="99" s="1"/>
  <c r="E6" i="98"/>
  <c r="I11" i="97"/>
  <c r="J11" i="97"/>
  <c r="Q253" i="96"/>
  <c r="N133" i="99"/>
  <c r="O133" i="99"/>
  <c r="J167" i="96"/>
  <c r="Q167" i="96"/>
  <c r="O226" i="99"/>
  <c r="N226" i="99"/>
  <c r="N96" i="99"/>
  <c r="O96" i="99"/>
  <c r="O83" i="99" s="1"/>
  <c r="I192" i="99"/>
  <c r="J192" i="99" s="1"/>
  <c r="G22" i="99"/>
  <c r="I22" i="99" s="1"/>
  <c r="J22" i="99" s="1"/>
  <c r="G14" i="99"/>
  <c r="I16" i="99"/>
  <c r="J16" i="99" s="1"/>
  <c r="N244" i="99"/>
  <c r="O244" i="99"/>
  <c r="K131" i="99"/>
  <c r="M131" i="99" s="1"/>
  <c r="J95" i="96"/>
  <c r="G95" i="99"/>
  <c r="Q95" i="96"/>
  <c r="O220" i="99"/>
  <c r="N220" i="99"/>
  <c r="Q220" i="99"/>
  <c r="E11" i="101"/>
  <c r="I18" i="100"/>
  <c r="J18" i="100"/>
  <c r="N95" i="99"/>
  <c r="O95" i="99"/>
  <c r="K161" i="99"/>
  <c r="M161" i="99" s="1"/>
  <c r="O93" i="99"/>
  <c r="N93" i="99"/>
  <c r="Q200" i="99"/>
  <c r="O200" i="99"/>
  <c r="N200" i="99"/>
  <c r="N246" i="99"/>
  <c r="O246" i="99"/>
  <c r="M250" i="99"/>
  <c r="E12" i="98"/>
  <c r="I19" i="97"/>
  <c r="J19" i="97"/>
  <c r="H16" i="97"/>
  <c r="I171" i="99"/>
  <c r="G179" i="99"/>
  <c r="I179" i="99" s="1"/>
  <c r="G169" i="99"/>
  <c r="D11" i="98"/>
  <c r="G18" i="97"/>
  <c r="I161" i="96"/>
  <c r="J139" i="96"/>
  <c r="Q222" i="99"/>
  <c r="N91" i="99"/>
  <c r="I246" i="99"/>
  <c r="J246" i="99" s="1"/>
  <c r="G250" i="99"/>
  <c r="O45" i="99"/>
  <c r="M47" i="99"/>
  <c r="N45" i="99"/>
  <c r="G118" i="99"/>
  <c r="I118" i="99" s="1"/>
  <c r="I126" i="99"/>
  <c r="N194" i="99"/>
  <c r="Q194" i="99"/>
  <c r="O194" i="99"/>
  <c r="G459" i="96"/>
  <c r="I30" i="96"/>
  <c r="F9" i="97" s="1"/>
  <c r="G16" i="91"/>
  <c r="M16" i="90"/>
  <c r="K16" i="96" s="1"/>
  <c r="K14" i="90"/>
  <c r="K22" i="90"/>
  <c r="M22" i="90" s="1"/>
  <c r="K12" i="87"/>
  <c r="M14" i="87"/>
  <c r="O16" i="87"/>
  <c r="N16" i="87"/>
  <c r="Q16" i="87"/>
  <c r="J461" i="87"/>
  <c r="G9" i="88"/>
  <c r="D4" i="89"/>
  <c r="F8" i="88"/>
  <c r="K30" i="84"/>
  <c r="M12" i="84"/>
  <c r="N14" i="84"/>
  <c r="Q14" i="84"/>
  <c r="O14" i="84"/>
  <c r="Q12" i="81"/>
  <c r="O12" i="81"/>
  <c r="N12" i="81"/>
  <c r="M30" i="81"/>
  <c r="K461" i="81"/>
  <c r="M461" i="81" s="1"/>
  <c r="E4" i="80"/>
  <c r="I9" i="79"/>
  <c r="J9" i="79"/>
  <c r="H8" i="79"/>
  <c r="G12" i="99" l="1"/>
  <c r="I14" i="99"/>
  <c r="J14" i="99" s="1"/>
  <c r="H14" i="100"/>
  <c r="O77" i="99"/>
  <c r="N77" i="99"/>
  <c r="I230" i="99"/>
  <c r="G236" i="99"/>
  <c r="G131" i="99"/>
  <c r="I131" i="99" s="1"/>
  <c r="J131" i="99" s="1"/>
  <c r="I133" i="99"/>
  <c r="N67" i="99"/>
  <c r="O67" i="99"/>
  <c r="J135" i="99"/>
  <c r="Q135" i="99"/>
  <c r="G67" i="99"/>
  <c r="I67" i="99" s="1"/>
  <c r="J67" i="99" s="1"/>
  <c r="I77" i="99"/>
  <c r="J236" i="96"/>
  <c r="Q236" i="96"/>
  <c r="I139" i="99"/>
  <c r="G161" i="99"/>
  <c r="J151" i="99"/>
  <c r="Q151" i="99"/>
  <c r="J171" i="99"/>
  <c r="Q171" i="99"/>
  <c r="I228" i="96"/>
  <c r="G184" i="96"/>
  <c r="I184" i="96" s="1"/>
  <c r="O198" i="99"/>
  <c r="Q198" i="99"/>
  <c r="N198" i="99"/>
  <c r="J149" i="99"/>
  <c r="Q149" i="99"/>
  <c r="G167" i="99"/>
  <c r="I167" i="99" s="1"/>
  <c r="I169" i="99"/>
  <c r="G244" i="99"/>
  <c r="I244" i="99" s="1"/>
  <c r="I250" i="99"/>
  <c r="J250" i="99" s="1"/>
  <c r="D6" i="98"/>
  <c r="G11" i="97"/>
  <c r="Q69" i="99"/>
  <c r="M228" i="99"/>
  <c r="K184" i="99"/>
  <c r="M184" i="99" s="1"/>
  <c r="H19" i="100"/>
  <c r="O253" i="99"/>
  <c r="N253" i="99"/>
  <c r="J153" i="99"/>
  <c r="Q153" i="99"/>
  <c r="G96" i="99"/>
  <c r="I96" i="99" s="1"/>
  <c r="J96" i="99" s="1"/>
  <c r="G93" i="99"/>
  <c r="I93" i="99" s="1"/>
  <c r="I95" i="99"/>
  <c r="G83" i="99"/>
  <c r="I91" i="99"/>
  <c r="N236" i="99"/>
  <c r="O236" i="99"/>
  <c r="K14" i="96"/>
  <c r="M14" i="96" s="1"/>
  <c r="K22" i="96"/>
  <c r="M22" i="96" s="1"/>
  <c r="M16" i="96"/>
  <c r="H20" i="100"/>
  <c r="N161" i="99"/>
  <c r="O161" i="99"/>
  <c r="Q226" i="99"/>
  <c r="J242" i="99"/>
  <c r="Q242" i="99"/>
  <c r="G47" i="99"/>
  <c r="I47" i="99" s="1"/>
  <c r="I45" i="99"/>
  <c r="G35" i="99"/>
  <c r="I35" i="99" s="1"/>
  <c r="J85" i="99"/>
  <c r="Q85" i="99"/>
  <c r="J212" i="99"/>
  <c r="Q212" i="99"/>
  <c r="I12" i="97"/>
  <c r="J12" i="97"/>
  <c r="N131" i="99"/>
  <c r="O131" i="99"/>
  <c r="Q131" i="99"/>
  <c r="J238" i="99"/>
  <c r="Q238" i="99"/>
  <c r="D8" i="98"/>
  <c r="G14" i="97"/>
  <c r="J37" i="99"/>
  <c r="Q37" i="99"/>
  <c r="Q142" i="99"/>
  <c r="Q192" i="99"/>
  <c r="J202" i="99"/>
  <c r="Q202" i="99"/>
  <c r="D7" i="92"/>
  <c r="G13" i="91"/>
  <c r="F12" i="91"/>
  <c r="I16" i="97"/>
  <c r="J16" i="97"/>
  <c r="Q246" i="99"/>
  <c r="J240" i="99"/>
  <c r="Q240" i="99"/>
  <c r="J39" i="99"/>
  <c r="Q39" i="99"/>
  <c r="J179" i="99"/>
  <c r="F18" i="100"/>
  <c r="Q179" i="99"/>
  <c r="D4" i="98"/>
  <c r="G9" i="97"/>
  <c r="F8" i="97"/>
  <c r="G8" i="97" s="1"/>
  <c r="N250" i="99"/>
  <c r="O250" i="99"/>
  <c r="Q250" i="99"/>
  <c r="J82" i="96"/>
  <c r="Q82" i="96"/>
  <c r="H13" i="100"/>
  <c r="N98" i="99"/>
  <c r="O98" i="99"/>
  <c r="J126" i="99"/>
  <c r="F17" i="100"/>
  <c r="Q126" i="99"/>
  <c r="J161" i="96"/>
  <c r="F20" i="97"/>
  <c r="Q161" i="96"/>
  <c r="D12" i="98"/>
  <c r="G19" i="97"/>
  <c r="Q83" i="96"/>
  <c r="J83" i="96"/>
  <c r="I98" i="96"/>
  <c r="N83" i="99"/>
  <c r="H11" i="100"/>
  <c r="N47" i="99"/>
  <c r="Q47" i="99"/>
  <c r="O47" i="99"/>
  <c r="J118" i="99"/>
  <c r="Q118" i="99"/>
  <c r="O82" i="99"/>
  <c r="N82" i="99"/>
  <c r="I459" i="96"/>
  <c r="J459" i="96" s="1"/>
  <c r="J30" i="96"/>
  <c r="M14" i="90"/>
  <c r="N16" i="90"/>
  <c r="O16" i="90"/>
  <c r="Q16" i="90"/>
  <c r="N14" i="87"/>
  <c r="O14" i="87"/>
  <c r="Q14" i="87"/>
  <c r="M12" i="87"/>
  <c r="K30" i="87"/>
  <c r="G8" i="88"/>
  <c r="F21" i="88"/>
  <c r="G21" i="88" s="1"/>
  <c r="O12" i="84"/>
  <c r="Q12" i="84"/>
  <c r="N12" i="84"/>
  <c r="M30" i="84"/>
  <c r="K461" i="84"/>
  <c r="M461" i="84" s="1"/>
  <c r="J8" i="79"/>
  <c r="I8" i="79"/>
  <c r="H21" i="79"/>
  <c r="N461" i="81"/>
  <c r="O461" i="81"/>
  <c r="Q461" i="81"/>
  <c r="H9" i="82"/>
  <c r="Q30" i="81"/>
  <c r="O30" i="81"/>
  <c r="N30" i="81"/>
  <c r="J20" i="100" l="1"/>
  <c r="I20" i="100"/>
  <c r="E13" i="101"/>
  <c r="J244" i="99"/>
  <c r="Q244" i="99"/>
  <c r="K16" i="99"/>
  <c r="Q16" i="96"/>
  <c r="N16" i="96"/>
  <c r="O16" i="96"/>
  <c r="J169" i="99"/>
  <c r="Q169" i="99"/>
  <c r="J133" i="99"/>
  <c r="Q133" i="99"/>
  <c r="J167" i="99"/>
  <c r="Q167" i="99"/>
  <c r="J35" i="99"/>
  <c r="Q35" i="99"/>
  <c r="N14" i="96"/>
  <c r="O14" i="96"/>
  <c r="Q14" i="96"/>
  <c r="I161" i="99"/>
  <c r="J139" i="99"/>
  <c r="I236" i="99"/>
  <c r="G228" i="99"/>
  <c r="G253" i="99"/>
  <c r="I253" i="99" s="1"/>
  <c r="J45" i="99"/>
  <c r="Q45" i="99"/>
  <c r="J230" i="99"/>
  <c r="Q230" i="99"/>
  <c r="E6" i="101"/>
  <c r="I11" i="100"/>
  <c r="J11" i="100"/>
  <c r="G17" i="100"/>
  <c r="D10" i="101"/>
  <c r="G12" i="91"/>
  <c r="F21" i="91"/>
  <c r="G21" i="91" s="1"/>
  <c r="J47" i="99"/>
  <c r="F11" i="100"/>
  <c r="E12" i="101"/>
  <c r="I19" i="100"/>
  <c r="J19" i="100"/>
  <c r="H16" i="100"/>
  <c r="O184" i="99"/>
  <c r="N184" i="99"/>
  <c r="J77" i="99"/>
  <c r="F14" i="100"/>
  <c r="Q77" i="99"/>
  <c r="D13" i="98"/>
  <c r="G20" i="97"/>
  <c r="F16" i="97"/>
  <c r="J91" i="99"/>
  <c r="Q91" i="99"/>
  <c r="O228" i="99"/>
  <c r="N228" i="99"/>
  <c r="F13" i="97"/>
  <c r="J98" i="96"/>
  <c r="Q98" i="96"/>
  <c r="D11" i="101"/>
  <c r="G18" i="100"/>
  <c r="I83" i="99"/>
  <c r="G98" i="99"/>
  <c r="G82" i="99"/>
  <c r="I82" i="99" s="1"/>
  <c r="J184" i="96"/>
  <c r="Q184" i="96"/>
  <c r="I14" i="100"/>
  <c r="E8" i="101"/>
  <c r="J14" i="100"/>
  <c r="J95" i="99"/>
  <c r="Q95" i="99"/>
  <c r="J228" i="96"/>
  <c r="Q228" i="96"/>
  <c r="I13" i="100"/>
  <c r="E7" i="101"/>
  <c r="H12" i="100"/>
  <c r="J13" i="100"/>
  <c r="J93" i="99"/>
  <c r="Q93" i="99"/>
  <c r="Q67" i="99"/>
  <c r="I12" i="99"/>
  <c r="J12" i="99" s="1"/>
  <c r="G30" i="99"/>
  <c r="N14" i="90"/>
  <c r="Q14" i="90"/>
  <c r="O14" i="90"/>
  <c r="N12" i="87"/>
  <c r="O12" i="87"/>
  <c r="Q12" i="87"/>
  <c r="M30" i="87"/>
  <c r="K461" i="87"/>
  <c r="M461" i="87" s="1"/>
  <c r="H9" i="85"/>
  <c r="Q30" i="84"/>
  <c r="O30" i="84"/>
  <c r="N30" i="84"/>
  <c r="N461" i="84"/>
  <c r="O461" i="84"/>
  <c r="Q461" i="84"/>
  <c r="J9" i="82"/>
  <c r="I9" i="82"/>
  <c r="H8" i="82"/>
  <c r="E4" i="83"/>
  <c r="J21" i="79"/>
  <c r="I21" i="79"/>
  <c r="I228" i="99" l="1"/>
  <c r="G184" i="99"/>
  <c r="I184" i="99" s="1"/>
  <c r="J236" i="99"/>
  <c r="Q236" i="99"/>
  <c r="D7" i="98"/>
  <c r="G13" i="97"/>
  <c r="F12" i="97"/>
  <c r="G12" i="97" s="1"/>
  <c r="J161" i="99"/>
  <c r="F20" i="100"/>
  <c r="Q161" i="99"/>
  <c r="I30" i="99"/>
  <c r="G459" i="99"/>
  <c r="D8" i="101"/>
  <c r="G14" i="100"/>
  <c r="I16" i="100"/>
  <c r="J16" i="100"/>
  <c r="K22" i="99"/>
  <c r="M22" i="99" s="1"/>
  <c r="K14" i="99"/>
  <c r="M16" i="99"/>
  <c r="I12" i="100"/>
  <c r="J12" i="100"/>
  <c r="J82" i="99"/>
  <c r="Q82" i="99"/>
  <c r="G16" i="97"/>
  <c r="J83" i="99"/>
  <c r="I98" i="99"/>
  <c r="Q83" i="99"/>
  <c r="D6" i="101"/>
  <c r="G11" i="100"/>
  <c r="J253" i="99"/>
  <c r="F19" i="100"/>
  <c r="Q253" i="99"/>
  <c r="H9" i="88"/>
  <c r="N30" i="87"/>
  <c r="O30" i="87"/>
  <c r="Q30" i="87"/>
  <c r="O461" i="87"/>
  <c r="N461" i="87"/>
  <c r="Q461" i="87"/>
  <c r="E4" i="86"/>
  <c r="I9" i="85"/>
  <c r="J9" i="85"/>
  <c r="H8" i="85"/>
  <c r="I8" i="82"/>
  <c r="J8" i="82"/>
  <c r="H21" i="82"/>
  <c r="F9" i="100" l="1"/>
  <c r="J30" i="99"/>
  <c r="I459" i="99"/>
  <c r="J459" i="99" s="1"/>
  <c r="G20" i="100"/>
  <c r="D13" i="101"/>
  <c r="M14" i="99"/>
  <c r="J98" i="99"/>
  <c r="F13" i="100"/>
  <c r="Q98" i="99"/>
  <c r="J184" i="99"/>
  <c r="Q184" i="99"/>
  <c r="F16" i="100"/>
  <c r="G19" i="100"/>
  <c r="D12" i="101"/>
  <c r="N16" i="99"/>
  <c r="O16" i="99"/>
  <c r="Q16" i="99"/>
  <c r="F21" i="97"/>
  <c r="G21" i="97" s="1"/>
  <c r="J228" i="99"/>
  <c r="Q228" i="99"/>
  <c r="E4" i="89"/>
  <c r="J9" i="88"/>
  <c r="I9" i="88"/>
  <c r="H8" i="88"/>
  <c r="H21" i="85"/>
  <c r="J8" i="85"/>
  <c r="I8" i="85"/>
  <c r="I21" i="82"/>
  <c r="J21" i="82"/>
  <c r="N14" i="99" l="1"/>
  <c r="O14" i="99"/>
  <c r="Q14" i="99"/>
  <c r="G13" i="100"/>
  <c r="D7" i="101"/>
  <c r="F12" i="100"/>
  <c r="G12" i="100" s="1"/>
  <c r="G16" i="100"/>
  <c r="D4" i="101"/>
  <c r="G9" i="100"/>
  <c r="F8" i="100"/>
  <c r="G8" i="100" s="1"/>
  <c r="I8" i="88"/>
  <c r="J8" i="88"/>
  <c r="H21" i="88"/>
  <c r="J21" i="85"/>
  <c r="I21" i="85"/>
  <c r="F21" i="100" l="1"/>
  <c r="G21" i="100" s="1"/>
  <c r="I21" i="88"/>
  <c r="J21" i="88"/>
  <c r="K24" i="90"/>
  <c r="K12" i="90" s="1"/>
  <c r="M26" i="90"/>
  <c r="O26" i="90" s="1"/>
  <c r="K28" i="90"/>
  <c r="M28" i="90"/>
  <c r="N28" i="90" s="1"/>
  <c r="Q26" i="90" l="1"/>
  <c r="K26" i="96"/>
  <c r="M24" i="90"/>
  <c r="N26" i="90"/>
  <c r="K30" i="90"/>
  <c r="M12" i="90"/>
  <c r="O24" i="90"/>
  <c r="K24" i="96" l="1"/>
  <c r="K12" i="96" s="1"/>
  <c r="M26" i="96"/>
  <c r="K28" i="96"/>
  <c r="M28" i="96" s="1"/>
  <c r="N28" i="96" s="1"/>
  <c r="Q24" i="90"/>
  <c r="N24" i="90"/>
  <c r="O12" i="90"/>
  <c r="Q12" i="90"/>
  <c r="N12" i="90"/>
  <c r="K459" i="90"/>
  <c r="M459" i="90" s="1"/>
  <c r="M30" i="90"/>
  <c r="Q26" i="96" l="1"/>
  <c r="K26" i="99"/>
  <c r="M24" i="96"/>
  <c r="N26" i="96"/>
  <c r="O26" i="96"/>
  <c r="K30" i="96"/>
  <c r="M12" i="96"/>
  <c r="O459" i="90"/>
  <c r="Q459" i="90"/>
  <c r="N459" i="90"/>
  <c r="Q30" i="90"/>
  <c r="H9" i="91"/>
  <c r="O30" i="90"/>
  <c r="N30" i="90"/>
  <c r="K459" i="96" l="1"/>
  <c r="M459" i="96" s="1"/>
  <c r="M30" i="96"/>
  <c r="N24" i="96"/>
  <c r="O24" i="96"/>
  <c r="Q24" i="96"/>
  <c r="K24" i="99"/>
  <c r="K12" i="99" s="1"/>
  <c r="M26" i="99"/>
  <c r="K28" i="99"/>
  <c r="M28" i="99" s="1"/>
  <c r="N28" i="99" s="1"/>
  <c r="O12" i="96"/>
  <c r="N12" i="96"/>
  <c r="Q12" i="96"/>
  <c r="I9" i="91"/>
  <c r="J9" i="91"/>
  <c r="H8" i="91"/>
  <c r="E4" i="92"/>
  <c r="M24" i="99" l="1"/>
  <c r="N26" i="99"/>
  <c r="O26" i="99"/>
  <c r="Q26" i="99"/>
  <c r="M12" i="99"/>
  <c r="K30" i="99"/>
  <c r="H9" i="97"/>
  <c r="Q30" i="96"/>
  <c r="N30" i="96"/>
  <c r="O30" i="96"/>
  <c r="N459" i="96"/>
  <c r="O459" i="96"/>
  <c r="Q459" i="96"/>
  <c r="H21" i="91"/>
  <c r="J8" i="91"/>
  <c r="I8" i="91"/>
  <c r="M30" i="99" l="1"/>
  <c r="K459" i="99"/>
  <c r="M459" i="99" s="1"/>
  <c r="N12" i="99"/>
  <c r="O12" i="99"/>
  <c r="Q12" i="99"/>
  <c r="E4" i="98"/>
  <c r="H8" i="97"/>
  <c r="I9" i="97"/>
  <c r="J9" i="97"/>
  <c r="O24" i="99"/>
  <c r="Q24" i="99"/>
  <c r="N24" i="99"/>
  <c r="J21" i="91"/>
  <c r="I21" i="91"/>
  <c r="H21" i="97" l="1"/>
  <c r="I8" i="97"/>
  <c r="J8" i="97"/>
  <c r="N459" i="99"/>
  <c r="O459" i="99"/>
  <c r="Q459" i="99"/>
  <c r="O30" i="99"/>
  <c r="N30" i="99"/>
  <c r="H9" i="100"/>
  <c r="Q30" i="99"/>
  <c r="E4" i="101" l="1"/>
  <c r="I9" i="100"/>
  <c r="H8" i="100"/>
  <c r="J9" i="100"/>
  <c r="I21" i="97"/>
  <c r="J21" i="97"/>
  <c r="H21" i="100" l="1"/>
  <c r="I8" i="100"/>
  <c r="J8" i="100"/>
  <c r="J21" i="100" l="1"/>
  <c r="I21" i="100"/>
</calcChain>
</file>

<file path=xl/sharedStrings.xml><?xml version="1.0" encoding="utf-8"?>
<sst xmlns="http://schemas.openxmlformats.org/spreadsheetml/2006/main" count="4530" uniqueCount="383">
  <si>
    <t xml:space="preserve">MONITORING PELAKSANAAN PROGRAM DAN KEGIATAN BELANJA LANGSUNG </t>
  </si>
  <si>
    <t>SKPD SEKRETARIAT DAERAH KABUPATEN CILACAP TAHUN ANGGARAN 2013</t>
  </si>
  <si>
    <t>NO</t>
  </si>
  <si>
    <t>KODE REKENING</t>
  </si>
  <si>
    <t>URAIAN KEGIATAN</t>
  </si>
  <si>
    <t>ANGGARAN</t>
  </si>
  <si>
    <t>BERTAMBAH / BERKURANG</t>
  </si>
  <si>
    <t>ANGGARAN SETELAH PERUBAHAN</t>
  </si>
  <si>
    <t xml:space="preserve">PENYERAPAN DANA </t>
  </si>
  <si>
    <t>PENGELUARAN</t>
  </si>
  <si>
    <t>SISA ANGGARAN</t>
  </si>
  <si>
    <t>REALISASI SP2D</t>
  </si>
  <si>
    <t>SPJ</t>
  </si>
  <si>
    <t>BULAN LALU</t>
  </si>
  <si>
    <t>BULAN INI</t>
  </si>
  <si>
    <t>S/D BULAN INI</t>
  </si>
  <si>
    <t>%</t>
  </si>
  <si>
    <t>9=7+8</t>
  </si>
  <si>
    <t>10=9/6</t>
  </si>
  <si>
    <t>13=11+12</t>
  </si>
  <si>
    <t>14=13/6</t>
  </si>
  <si>
    <t>15=6-9</t>
  </si>
  <si>
    <t>I</t>
  </si>
  <si>
    <t>1.20.1.20.03.01</t>
  </si>
  <si>
    <t>.07</t>
  </si>
  <si>
    <t>Penyediaan jasa administrasi keuangan</t>
  </si>
  <si>
    <t>.11</t>
  </si>
  <si>
    <t>Penyediaan barang cetakan dan penggandaan</t>
  </si>
  <si>
    <t>Penyediaan jasa administrasi keuangan (Perubahan)</t>
  </si>
  <si>
    <t>.17</t>
  </si>
  <si>
    <t>Penyediaan makanan dan minuman</t>
  </si>
  <si>
    <t>Perkantoran</t>
  </si>
  <si>
    <t>II</t>
  </si>
  <si>
    <t>1.20.1.20.03.02</t>
  </si>
  <si>
    <t>.30</t>
  </si>
  <si>
    <t>Pemeliharaan rutin / berkala</t>
  </si>
  <si>
    <t>III</t>
  </si>
  <si>
    <t>.03</t>
  </si>
  <si>
    <t>IV</t>
  </si>
  <si>
    <t>.02</t>
  </si>
  <si>
    <t>.08</t>
  </si>
  <si>
    <t>V</t>
  </si>
  <si>
    <t>.05</t>
  </si>
  <si>
    <t>.01</t>
  </si>
  <si>
    <t>.13</t>
  </si>
  <si>
    <t>Program Pelayanan Administrasi Perkantoran</t>
  </si>
  <si>
    <t>.10</t>
  </si>
  <si>
    <t>Penyediaan alat tulis kantor</t>
  </si>
  <si>
    <t xml:space="preserve">Jumlah Program Pelayanan Administrasi </t>
  </si>
  <si>
    <t>Aparatur</t>
  </si>
  <si>
    <t>Penyediaan jasa komunikasi, sumber daya air dan listrik</t>
  </si>
  <si>
    <t>1.20.1.20.03.03</t>
  </si>
  <si>
    <t>dan informasi</t>
  </si>
  <si>
    <t>Pengadaan alat studio dan komunikasi</t>
  </si>
  <si>
    <t>1.25.1.20.03.17</t>
  </si>
  <si>
    <t>Bidang Komunikasi dan Informasi</t>
  </si>
  <si>
    <t>BAGIAN HUKUM</t>
  </si>
  <si>
    <t>Penyediaan peralatan dan perlengkapan kantor</t>
  </si>
  <si>
    <t>JUMLAH BAGIAN HUKUM</t>
  </si>
  <si>
    <t>BAGIAN KESRA</t>
  </si>
  <si>
    <t>Penyediaan Jasa Surat Menyurat</t>
  </si>
  <si>
    <t>.28</t>
  </si>
  <si>
    <t>.18</t>
  </si>
  <si>
    <t>JUMLAH BAGIAN KESRA</t>
  </si>
  <si>
    <t xml:space="preserve">Program Peningkatan Sarana dan Prasarana </t>
  </si>
  <si>
    <t xml:space="preserve">Jumlah Program Peningkatan Sarana dan </t>
  </si>
  <si>
    <t>Prasarana Aparatur</t>
  </si>
  <si>
    <t>BAGIAN PEREKONOMIAN</t>
  </si>
  <si>
    <t>Rapat-rapat kordinasi dan konsultasi ke luar daerah</t>
  </si>
  <si>
    <t xml:space="preserve">JUMLAH BAGIAN PEREKONOMIAN </t>
  </si>
  <si>
    <t>BAGIAN ORGANISASI</t>
  </si>
  <si>
    <t>.06001</t>
  </si>
  <si>
    <t>JUMLAH BAGIAN ORGANISASI</t>
  </si>
  <si>
    <t xml:space="preserve">BAGIAN UMUM </t>
  </si>
  <si>
    <t>PENYERAPAN DANA</t>
  </si>
  <si>
    <t>1.25.1.20.03.15</t>
  </si>
  <si>
    <t>JUMLAH BAGIAN UMUM</t>
  </si>
  <si>
    <t>7=5+6</t>
  </si>
  <si>
    <t>8=7/4</t>
  </si>
  <si>
    <t>11=9+10</t>
  </si>
  <si>
    <t>12=11/4</t>
  </si>
  <si>
    <t>13=4-7</t>
  </si>
  <si>
    <t>BAGIAN TELEMATIKA</t>
  </si>
  <si>
    <t>Program Peningkatan Sarana dan Prasarana</t>
  </si>
  <si>
    <t xml:space="preserve">Program Pengembangan Jaringan Komunikasi,  </t>
  </si>
  <si>
    <t>Informasi dan media masa</t>
  </si>
  <si>
    <t xml:space="preserve">Pembinaan dan pengembangan jaringan komunikasi </t>
  </si>
  <si>
    <t>Pengkajian dan Pengembangan sistem informasi</t>
  </si>
  <si>
    <t>Maintenance Jaringan Komunikasi dan Informasi</t>
  </si>
  <si>
    <t xml:space="preserve">Jumlah Program Pengembangan Jaringan  </t>
  </si>
  <si>
    <t>Komunikasi, Informasi dan media masa</t>
  </si>
  <si>
    <t xml:space="preserve">Program Fasilitasi Peningkatan SDM bidang </t>
  </si>
  <si>
    <t>Komunikasi dan Informasi</t>
  </si>
  <si>
    <t>Pelatihan SDM dalam bidang komunikasi dan informasi</t>
  </si>
  <si>
    <t xml:space="preserve">Jumlah Program Fasilitasi Peningkatan SDM </t>
  </si>
  <si>
    <t xml:space="preserve"> </t>
  </si>
  <si>
    <t>JUMLAH BAGIAN TELEMATIKA</t>
  </si>
  <si>
    <t>BAGIAN ADMINISTRASI</t>
  </si>
  <si>
    <t>Penyediaan jasa surat menyurat</t>
  </si>
  <si>
    <t>Pemeliharaan Rutin/berkala peralatan gedung kantor</t>
  </si>
  <si>
    <t xml:space="preserve">Program Peningkatan Disiplin Aparatur </t>
  </si>
  <si>
    <t>Pengadaan pakaian kerja lapangan</t>
  </si>
  <si>
    <t>Pengadaan Pakaian Khusus hari-hari tertentu</t>
  </si>
  <si>
    <t xml:space="preserve">Jumlah Program Peningkatan Disiplin Aparatur </t>
  </si>
  <si>
    <t>1.20.1.20.03.29</t>
  </si>
  <si>
    <t>Program Pendidikan Kedinasan</t>
  </si>
  <si>
    <t>Paduan Suara</t>
  </si>
  <si>
    <t>.06002</t>
  </si>
  <si>
    <t>Tes Ketahanan Fisik</t>
  </si>
  <si>
    <t>Jumlah Program Pendidikan Kedinasan</t>
  </si>
  <si>
    <t>JUMLAH TOTAL SKPD/SEKRETARIAT</t>
  </si>
  <si>
    <t>PERIODE S/D BULAN : JANUARI 2013</t>
  </si>
  <si>
    <t>`</t>
  </si>
  <si>
    <t>Jumlah Program Peningkatan Disiplin Aparatur</t>
  </si>
  <si>
    <t xml:space="preserve">REKAPITULASI ANGGARAN DAN REALISASI BELANJA LANGSUNG </t>
  </si>
  <si>
    <t>BAGIAN</t>
  </si>
  <si>
    <t>REALISASI</t>
  </si>
  <si>
    <t>PERSENTASE (%)</t>
  </si>
  <si>
    <t>PENGELUARAN (SPJ)</t>
  </si>
  <si>
    <t>8=3-6</t>
  </si>
  <si>
    <t>ASSISTEN I</t>
  </si>
  <si>
    <t>1.</t>
  </si>
  <si>
    <t>2.</t>
  </si>
  <si>
    <t>3.</t>
  </si>
  <si>
    <t>4.</t>
  </si>
  <si>
    <t>ASSISTEN II</t>
  </si>
  <si>
    <t>ASSISTEN III</t>
  </si>
  <si>
    <t>JUMLAH SELURUH</t>
  </si>
  <si>
    <t>SETDA KABUPATEN CILACAP</t>
  </si>
  <si>
    <t xml:space="preserve">ANGGARAN </t>
  </si>
  <si>
    <t>SKPD SEKRETARIAT DAERAH KABUPATEN CILACAP TAHUN ANGGARAN 2015</t>
  </si>
  <si>
    <t>PERIODE S/D BULAN : JANUARI 2015</t>
  </si>
  <si>
    <t>BAGIAN PEMERINTAHAN DAN OTDA</t>
  </si>
  <si>
    <t>BAGIAN ADMINISTRASI PEMBANGUNAN</t>
  </si>
  <si>
    <t>JUMLAH BAGIAN ADMINISTRASI PEMBANGUNAN</t>
  </si>
  <si>
    <t>JUMLAH BAGIAN PEMERINTAHAN DAN OTDA</t>
  </si>
  <si>
    <t>BAGIAN KEUANGAN DAN ASET</t>
  </si>
  <si>
    <t>JUMLAH BAGIAN KEUANGAN DAN ASET</t>
  </si>
  <si>
    <t>PEMERINTAHAN DAN OTDA (01)</t>
  </si>
  <si>
    <t>KESRA (02)</t>
  </si>
  <si>
    <t>HUKUM (03)</t>
  </si>
  <si>
    <t>PEREKONOMIAN (04)</t>
  </si>
  <si>
    <t>ADM.PEMBANGUNAN (05)</t>
  </si>
  <si>
    <t>ORGANISASI (08)</t>
  </si>
  <si>
    <t>UMUM (09)</t>
  </si>
  <si>
    <t>PENERIMAAN (SP2D/NPD)</t>
  </si>
  <si>
    <t>SETDA CILACAP</t>
  </si>
  <si>
    <t>BBM</t>
  </si>
  <si>
    <t>gaji</t>
  </si>
  <si>
    <t>TPP</t>
  </si>
  <si>
    <t>GU</t>
  </si>
  <si>
    <t>Pengelola Keu</t>
  </si>
  <si>
    <t>Gaji+LS</t>
  </si>
  <si>
    <t>PROGRAM PENUNJANG URUSAN PEMERINTAHAN DAERAH KABUPATEN/KOTA</t>
  </si>
  <si>
    <t>4.01.01</t>
  </si>
  <si>
    <t>4.01.01.2.01</t>
  </si>
  <si>
    <t>4.01.03.2.01.02</t>
  </si>
  <si>
    <t>4.01.03.2.01.01</t>
  </si>
  <si>
    <t>4.01.03</t>
  </si>
  <si>
    <t>Administrasi Umum Perangkat Daerah</t>
  </si>
  <si>
    <t>4.01.01.2.06</t>
  </si>
  <si>
    <t>Penyediaan Peralatan dan Perlengkapan Kantor</t>
  </si>
  <si>
    <t>Penyediaan bahan Logistik Kantor</t>
  </si>
  <si>
    <t>Penyediaan Barang Cetakan dan Penggandaan</t>
  </si>
  <si>
    <t>4.01.01.2.06.02</t>
  </si>
  <si>
    <t>4.01.01.2.06.04</t>
  </si>
  <si>
    <t>4.01.01.2.06.05</t>
  </si>
  <si>
    <t>Fasilitasi Kunjungan Tamu</t>
  </si>
  <si>
    <t>4.01.01.2.06.08</t>
  </si>
  <si>
    <t>Penyelenggaraan Rapat Koordinasi dan Konsultasi SKPD</t>
  </si>
  <si>
    <t>4.01.01.2.06.09</t>
  </si>
  <si>
    <t>Jumlah</t>
  </si>
  <si>
    <t xml:space="preserve">Jumlah </t>
  </si>
  <si>
    <t>4.01.01.2.08</t>
  </si>
  <si>
    <t>4.01.01.2.08.01</t>
  </si>
  <si>
    <t>4.01.01.2.08.02</t>
  </si>
  <si>
    <t>Penyediaan Jasa Komunikasi, Sumber Daya Air dan Listrik</t>
  </si>
  <si>
    <t>Penyediaan Jasa Penunjang Urusan Pemerintahan Daerah</t>
  </si>
  <si>
    <t>Pemeliharaan Barang Milik Daerah Penunjang Urusan Pemerintahan Daerah</t>
  </si>
  <si>
    <t>4.01.01.2.09</t>
  </si>
  <si>
    <t>Penyediaan Jasa Pemeliharaan, Biaya Pemeliharaan dan Pajak Kendaraan Perorangan Dinas atau Kendaraan Dinas</t>
  </si>
  <si>
    <t>4.01.01.2.09.01</t>
  </si>
  <si>
    <t>Fasilitasi Kerumahtanggan Sekretariat Daerah</t>
  </si>
  <si>
    <t>4.01.01.2.12</t>
  </si>
  <si>
    <t>Penyediaan Kebutuhan Rumah Tangga Kepala Daerah</t>
  </si>
  <si>
    <t>4.01.01.2.12.01</t>
  </si>
  <si>
    <t>4.01.01.2.12.03</t>
  </si>
  <si>
    <t>Penyediaan Kebutuhan Rumah Tangga Sekretariat Daerah</t>
  </si>
  <si>
    <t>Pelaksanaan Protokol dan Komunikasi Pimpinan</t>
  </si>
  <si>
    <t>Fasilitasi Keprotokolan</t>
  </si>
  <si>
    <t>Fasilitasi Komunikasi Pimpinan</t>
  </si>
  <si>
    <t xml:space="preserve">Pendokumentasi Tugas Pimpinani </t>
  </si>
  <si>
    <t>Administrasi Keuangan Perangkat Daerah</t>
  </si>
  <si>
    <t>4.01.01.2.02</t>
  </si>
  <si>
    <t>Koordinasi dan Pelaksanaan Akuntansi SKPD</t>
  </si>
  <si>
    <t>4.01.01.2.02.04</t>
  </si>
  <si>
    <t>Koordinasi dan Penyusunan Laporan Keuangan Bulanan/Triwulanan/Semesteran SKPD</t>
  </si>
  <si>
    <t>4.01.01.2.02.07</t>
  </si>
  <si>
    <t>Administrasi Barang Milik Daerah pada Perangkat Daerah</t>
  </si>
  <si>
    <t>4.01.01.2.03</t>
  </si>
  <si>
    <t>Pengamanan Barang Milik Daerah SKPD</t>
  </si>
  <si>
    <t>4.01.01.2.03.02</t>
  </si>
  <si>
    <t>4.01.01.2.07</t>
  </si>
  <si>
    <t>Pengadaan Barang Milik Daerah Penunjang Urusan Pemerintah Daerah</t>
  </si>
  <si>
    <t>4.01.01.2.07.10</t>
  </si>
  <si>
    <t>Pengadaan Sarana dan Prasarana Gedung Kantor atau Bangunan Lainnya</t>
  </si>
  <si>
    <t>4.01.01.2.07.11</t>
  </si>
  <si>
    <t>Pengadaan Sarana dan Prasarana Pendukung Gedung Kantor atau Bangunan Lainnya</t>
  </si>
  <si>
    <t>Pemeliharaan/Rehabilitasi Sarana dan Prasarana Gedung Kantor atau Bangunan Lainnya</t>
  </si>
  <si>
    <t>4.01.01.2.09.10</t>
  </si>
  <si>
    <t>Pemeliharaan/Rehabilitasi Sarana dan Prasarana Pendukung Gedung Kantor atau Bangunan Lainnya</t>
  </si>
  <si>
    <t>4.01.01.2.09.11</t>
  </si>
  <si>
    <t>4.01.01.2.13</t>
  </si>
  <si>
    <t>Penataan Organisasi</t>
  </si>
  <si>
    <t>Pengelolaan Kelembagaan dan Analisis Jabatan</t>
  </si>
  <si>
    <t>4.01.01.2.13.01</t>
  </si>
  <si>
    <t>Fasilitasi Pelayanan Publik dan Tata Laksana</t>
  </si>
  <si>
    <t>4.01.01.2.13.02</t>
  </si>
  <si>
    <t>Peningkatan Kinerja dan Reformasi Birokrasi</t>
  </si>
  <si>
    <t>4.01.01.2.13.03</t>
  </si>
  <si>
    <t>Monitoring, Evaluasi dan Pengendalian Kualitas Pelayanan Publik dan Tata Laksana</t>
  </si>
  <si>
    <t>4.01.01.2.13.04</t>
  </si>
  <si>
    <t>PROGRAM PEMERINTAHAN DAN KESEJAHTERAAN RAKYAT</t>
  </si>
  <si>
    <t>4.01.02</t>
  </si>
  <si>
    <t>Administrasi Tata Pemerintahan</t>
  </si>
  <si>
    <t>4.01.02.2.01</t>
  </si>
  <si>
    <t>Pengelolaan Administrasi Kewilayahan</t>
  </si>
  <si>
    <t>4.01.02.2.01.02</t>
  </si>
  <si>
    <t>Fasilitasi Pelaksanaan Otonomi Daerah</t>
  </si>
  <si>
    <t>4.01.02.2.01.03</t>
  </si>
  <si>
    <t>4.01.02.2.04</t>
  </si>
  <si>
    <t>Fasilitasi Kerjasama Daerah</t>
  </si>
  <si>
    <t>Fasilitasi Kerja Sama Dalam Negeri</t>
  </si>
  <si>
    <t>4.01.02.2.04.02</t>
  </si>
  <si>
    <t>Fasilitasi dan Koordinasi Hukum</t>
  </si>
  <si>
    <t>4.01.02.2.03</t>
  </si>
  <si>
    <t>Fasilitasi Penyusunan Produk Hukum Daerah</t>
  </si>
  <si>
    <t>4.01.02.2.03.01</t>
  </si>
  <si>
    <t>Fasilitasi Bantuan Hukum</t>
  </si>
  <si>
    <t>4.01.02.2.03.02</t>
  </si>
  <si>
    <t>Pendokumentasian Produk Hukum dan Pengelolaan Informasi Hukum</t>
  </si>
  <si>
    <t>4.01.02.2.03.03</t>
  </si>
  <si>
    <t>Koordinasi, Sinkronisasi, Monitoring dan Evaluasi Kebijakan Pengelolaan BUMD dan BLUD</t>
  </si>
  <si>
    <t>Pelaksanaan Kebijakan Perekonomian</t>
  </si>
  <si>
    <t>4.01.03.2.01</t>
  </si>
  <si>
    <t>PROGRAM PEREKONOMIAN DAN PEMBANGUNAN</t>
  </si>
  <si>
    <t>Pelaksanaan Administrasi Pembangunan</t>
  </si>
  <si>
    <t>Fasilitasi Penyusunan Program Pembangunan</t>
  </si>
  <si>
    <t>4.01.03.2.02.01</t>
  </si>
  <si>
    <t>Pengendalian dan Evaluasi Program Pembangunan</t>
  </si>
  <si>
    <t>4.01.03.2.02.02</t>
  </si>
  <si>
    <t>Pengelolaan Evaluasi dan Pelaporan Pelaksanaan Pembangunan</t>
  </si>
  <si>
    <t>4.01.03.2.02.03</t>
  </si>
  <si>
    <t>4.01.03.2.03</t>
  </si>
  <si>
    <t>Pengelolaan Pengadaan Barang dan Jasa</t>
  </si>
  <si>
    <t>4.01.03.2.03.01</t>
  </si>
  <si>
    <t>4.01.03.2.03.02</t>
  </si>
  <si>
    <t>4.01.03.2.03.03</t>
  </si>
  <si>
    <t>Pengelolaan Layanan Pengadaan secara Elektronik</t>
  </si>
  <si>
    <t>Pembinaan dan Advokasi Pengadaan Barang dan Jasa</t>
  </si>
  <si>
    <t>Pelaksanaan Kebijakan Kesejahteraan Rakyat</t>
  </si>
  <si>
    <t>Fasilitasi Pengelolaan Bina Mental Spiritual</t>
  </si>
  <si>
    <t>4.01.02.2.02.01</t>
  </si>
  <si>
    <t>4.01.02.2.02</t>
  </si>
  <si>
    <t>Pelaksanaan Kebijakan, Evaluasi, dan Capaian Kinerja terkait Kesejahteraan Sosial</t>
  </si>
  <si>
    <t>4.01.02.2.02.02</t>
  </si>
  <si>
    <t>Pelaksanaan Kebijakan, Evaluasi, dan Capaian Kinerja terkait Kesejahteraan Masyarakat</t>
  </si>
  <si>
    <t>4.01.02.2.02.03</t>
  </si>
  <si>
    <t>jaskom</t>
  </si>
  <si>
    <t>gaji lainnya</t>
  </si>
  <si>
    <t>ls brg/jasa</t>
  </si>
  <si>
    <t>total LS</t>
  </si>
  <si>
    <t>TOTAL</t>
  </si>
  <si>
    <t>Total LS</t>
  </si>
  <si>
    <t>LS brg/jasa</t>
  </si>
  <si>
    <t>4.01.01.2.02.01</t>
  </si>
  <si>
    <t>Penyediaan Gaji dan Tunjangan ASN</t>
  </si>
  <si>
    <t>Administrasi Keuangan dan operasional Kada/Wakada</t>
  </si>
  <si>
    <t>Penyediaan Gaji dan tunjangan Kada/Wakada</t>
  </si>
  <si>
    <t>BAGIAN PENGADAAN BARANG/JASA</t>
  </si>
  <si>
    <t>JUMLAH BAGIAN PENGADAAN BARANG/JASA</t>
  </si>
  <si>
    <t>PENGADAAN BARANG/JASA(06)</t>
  </si>
  <si>
    <t>4.01.01.2.01.01</t>
  </si>
  <si>
    <t>Evaluasi Kinerja Perangkat Daerah</t>
  </si>
  <si>
    <t>PEMBANGUNAN</t>
  </si>
  <si>
    <t>SP2D</t>
  </si>
  <si>
    <t>TAPEM</t>
  </si>
  <si>
    <t>KESRA</t>
  </si>
  <si>
    <t>HUKUM</t>
  </si>
  <si>
    <t>PEREKONOMIAN</t>
  </si>
  <si>
    <t>PBJ</t>
  </si>
  <si>
    <t>ORGANISASI</t>
  </si>
  <si>
    <t>UMUM</t>
  </si>
  <si>
    <t>PERENC &amp; KEU</t>
  </si>
  <si>
    <t>KOM, PIM &amp; PROT</t>
  </si>
  <si>
    <t>4.01.02.2.01.01</t>
  </si>
  <si>
    <t>Perencanaan dan Pengawasan ekonomi Mikro kecil</t>
  </si>
  <si>
    <t>4.01.03.2.04</t>
  </si>
  <si>
    <t>4.01.03.2.04.03</t>
  </si>
  <si>
    <t>Perencanan, Penganggaran dan Evaluasi Kinerja Perangkat Daerah</t>
  </si>
  <si>
    <t>4.01.01.2.01.02</t>
  </si>
  <si>
    <t>Penyusunan Dokumen Perencanaan Perangkat Daerah</t>
  </si>
  <si>
    <t>harkon (02.02)</t>
  </si>
  <si>
    <t>4.01.01.01.15.01</t>
  </si>
  <si>
    <t>4.01.01.01.15</t>
  </si>
  <si>
    <t>4.01.01.02.14</t>
  </si>
  <si>
    <t>4.01.01.02.14.01</t>
  </si>
  <si>
    <t>4.01.01.02.14.02</t>
  </si>
  <si>
    <t>4.01.01.02.14.03</t>
  </si>
  <si>
    <t>Penataan Administrasi Pemerintahan</t>
  </si>
  <si>
    <t>Pemantauan Kebijakan Sumber Daya Alam</t>
  </si>
  <si>
    <t>Kordinasi, sinkronisasi dan evaluasi Kebijakan pertanuan, kehutanan, kelautan dan perikanan</t>
  </si>
  <si>
    <t>Penyediaan Dana Penunjang Operasional Kepala Daerah dan Wakil Kepala Daerah</t>
  </si>
  <si>
    <t>Penyediaan Jasa Penunjang urusan pemerintah Daerah</t>
  </si>
  <si>
    <t>Penyediaan Jasa Pelayanan Umum Kantor</t>
  </si>
  <si>
    <t>Administrasi Kepegawaian Perangkat Daerah</t>
  </si>
  <si>
    <t>Pengedaan Pakaian Dinas beserta atribut kelengkapannya</t>
  </si>
  <si>
    <t>Pendidikan dan pelatihan pegawai berdasarkan tugas dan fungsi</t>
  </si>
  <si>
    <t>BAGIAN KOMUNIKASI PIMPINAN DAN PROTOKOL</t>
  </si>
  <si>
    <t>JUMLAH BAGIAN KOMUNIKASI PIMPINAN DAN PROTOKOL</t>
  </si>
  <si>
    <t>KOMUNIKASI PIMPINAN DAN PROTOKOL (07)</t>
  </si>
  <si>
    <t>PERENCANAAN DAN KEUANGAN (10)</t>
  </si>
  <si>
    <t>PERIODE S/D BULAN JANUARI 2024</t>
  </si>
  <si>
    <t>SKPD SEKRETARIAT DAERAH KABUPATEN CILACAP TAHUN ANGGARAN 2024</t>
  </si>
  <si>
    <t>Pengendalian dan Distribusi Perekonomian</t>
  </si>
  <si>
    <t>CILACAP,  31  JANUARI  2024</t>
  </si>
  <si>
    <t>CILACAP,   31  JANUARI  2024</t>
  </si>
  <si>
    <t>BULAN : JANUARI 2024</t>
  </si>
  <si>
    <t>Plt. KEPALA BAGIAN PERENCANAAN DAN KEUANGAN</t>
  </si>
  <si>
    <t>KEPALA BAGIAN UMUM</t>
  </si>
  <si>
    <t>Drs. AGUNG WIDODO, M.Si</t>
  </si>
  <si>
    <t>NIP. 19720320 199303 1 005</t>
  </si>
  <si>
    <t xml:space="preserve">Plt. KEPALA BAGIAN PERENCANAAN DAN KEUANGAN </t>
  </si>
  <si>
    <t>PERIODE S/D BULAN PEBRUARI 2024</t>
  </si>
  <si>
    <t>CILACAP,   28  PEBRUARI  2024</t>
  </si>
  <si>
    <t>BULAN :  PEBRUARI 2024</t>
  </si>
  <si>
    <t>PERIODE S/D BULAN  MARET  2024</t>
  </si>
  <si>
    <t>BULAN :  MARET  2024</t>
  </si>
  <si>
    <t>CILACAP,   31  MARET  2024</t>
  </si>
  <si>
    <t>CILACAP,  31  MARET  2024</t>
  </si>
  <si>
    <t>KEPALA BAGIAN PERENCANAAN DAN KEUANGAN</t>
  </si>
  <si>
    <t xml:space="preserve">KEPALA BAGIAN PERENCANAAN DAN KEUANGAN </t>
  </si>
  <si>
    <t>NIP. 19780609 199810 1 001</t>
  </si>
  <si>
    <t>ISKANDAR ZULKARNAIN SIREGAR, SSTP, MSi</t>
  </si>
  <si>
    <t>PERIODE S/D BULAN  APRIL  2024</t>
  </si>
  <si>
    <t>BULAN :  APRIL  2024</t>
  </si>
  <si>
    <t>CILACAP,   30  APRIL   2024</t>
  </si>
  <si>
    <t xml:space="preserve">total gaji </t>
  </si>
  <si>
    <t>CILACAP,  28  PEBRUARI  2024</t>
  </si>
  <si>
    <t>PERIODE S/D BULAN  MEI  2024</t>
  </si>
  <si>
    <t>CILACAP,  31  MEI  2024</t>
  </si>
  <si>
    <t>CILACAP,  30  APRIL  2024</t>
  </si>
  <si>
    <t>BULAN :  MEI  2024</t>
  </si>
  <si>
    <t>CILACAP,   31  MEI   2024</t>
  </si>
  <si>
    <t>BAGIAN PROTOKOL DAN KOMUNIKASI PIMPINAN</t>
  </si>
  <si>
    <t>BAGIAN PEREKONOMIAN DAN SDA</t>
  </si>
  <si>
    <t>JUMLAH BAGIAN PEREKONOMIAN  DAN SDA</t>
  </si>
  <si>
    <t>JML BAGIAN PROTOKOL DAN KOMUNIKASI PIMPINAN</t>
  </si>
  <si>
    <t>PEREKONOMIAN DAN SDA (04)</t>
  </si>
  <si>
    <t>PROTOKOL DAN KOMUNIKASI PIMPINAN (07)</t>
  </si>
  <si>
    <t>PEREKONOMIAN DAN SDA</t>
  </si>
  <si>
    <t>PROKOMPIM</t>
  </si>
  <si>
    <t>JUMLAH BAGIAN PEREKONOMIAN DAN SDA</t>
  </si>
  <si>
    <t>JUMLAH BAGIAN PROTOKOL DAN KOMUNIKASI PIMPINAN</t>
  </si>
  <si>
    <t>PERIODE S/D BULAN  JUNI  2024</t>
  </si>
  <si>
    <t>CILACAP,  30  JUNI  2024</t>
  </si>
  <si>
    <t>CILACAP,   30  JUNI   2024</t>
  </si>
  <si>
    <t>BULAN :  JUNI  2024</t>
  </si>
  <si>
    <t>dikurangi 245.000</t>
  </si>
  <si>
    <t>PERIODE S/D BULAN  JULI  2024</t>
  </si>
  <si>
    <t>CILACAP,  31  JULI  2024</t>
  </si>
  <si>
    <t>BULAN :  JULI  2024</t>
  </si>
  <si>
    <t>CILACAP,   31  JULI   2024</t>
  </si>
  <si>
    <t>PERIODE S/D BULAN  AGUSTUS  2024</t>
  </si>
  <si>
    <t>CILACAP,  31  AGUSTUS  2024</t>
  </si>
  <si>
    <t>BULAN :  AGUSTUS  2024</t>
  </si>
  <si>
    <t>CILACAP,   31  AGUSTUS   2024</t>
  </si>
  <si>
    <t>Fasilitasi Kerumahtanggaan Sekretariat Daerah</t>
  </si>
  <si>
    <t>Kordinasi, sinkronisasi dan evaluasi Kebijakan pertanian, kehutanan, kelautan dan perikanan</t>
  </si>
  <si>
    <t>PERIODE S/D BULAN  SEPTEMBER  2024</t>
  </si>
  <si>
    <t>CILACAP,  30  SEPTEMBER  2024</t>
  </si>
  <si>
    <t>BULAN :  SEPTEMBER  2024</t>
  </si>
  <si>
    <t>CILACAP,   30  SEPTEMBER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</si>
</sst>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0_);_(* \(#,##0.00\);_(* &quot;-&quot;??_);_(@_)"/>
    <numFmt numFmtId="167" formatCode="0.0%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Arial"/>
      <family val="2"/>
    </font>
    <font>
      <sz val="10"/>
      <color rgb="FF00B0F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6" tint="-0.499984740745262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charset val="1"/>
      <scheme val="minor"/>
    </font>
    <font>
      <sz val="9"/>
      <name val="Arial"/>
      <family val="2"/>
    </font>
    <font>
      <b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D28A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70">
    <xf numFmtId="0" fontId="0" fillId="0" borderId="0" xfId="0"/>
    <xf numFmtId="0" fontId="3" fillId="0" borderId="0" xfId="0" applyFont="1"/>
    <xf numFmtId="0" fontId="4" fillId="3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/>
    <xf numFmtId="3" fontId="3" fillId="0" borderId="0" xfId="0" applyNumberFormat="1" applyFont="1"/>
    <xf numFmtId="0" fontId="4" fillId="0" borderId="9" xfId="0" applyFont="1" applyBorder="1" applyAlignment="1">
      <alignment horizontal="center"/>
    </xf>
    <xf numFmtId="0" fontId="5" fillId="0" borderId="9" xfId="0" applyFont="1" applyBorder="1"/>
    <xf numFmtId="0" fontId="4" fillId="0" borderId="9" xfId="0" applyFont="1" applyBorder="1"/>
    <xf numFmtId="165" fontId="4" fillId="0" borderId="9" xfId="0" applyNumberFormat="1" applyFont="1" applyBorder="1"/>
    <xf numFmtId="165" fontId="4" fillId="2" borderId="9" xfId="0" applyNumberFormat="1" applyFont="1" applyFill="1" applyBorder="1"/>
    <xf numFmtId="167" fontId="4" fillId="0" borderId="9" xfId="0" applyNumberFormat="1" applyFont="1" applyBorder="1" applyAlignment="1">
      <alignment horizontal="center"/>
    </xf>
    <xf numFmtId="165" fontId="5" fillId="0" borderId="9" xfId="1" applyFont="1" applyBorder="1"/>
    <xf numFmtId="165" fontId="5" fillId="0" borderId="12" xfId="1" applyFont="1" applyBorder="1"/>
    <xf numFmtId="165" fontId="5" fillId="0" borderId="9" xfId="0" applyNumberFormat="1" applyFont="1" applyBorder="1"/>
    <xf numFmtId="167" fontId="5" fillId="0" borderId="9" xfId="0" applyNumberFormat="1" applyFont="1" applyBorder="1" applyAlignment="1">
      <alignment horizontal="center"/>
    </xf>
    <xf numFmtId="165" fontId="5" fillId="0" borderId="12" xfId="0" applyNumberFormat="1" applyFont="1" applyBorder="1"/>
    <xf numFmtId="0" fontId="6" fillId="0" borderId="9" xfId="0" applyFont="1" applyBorder="1" applyAlignment="1">
      <alignment horizontal="right"/>
    </xf>
    <xf numFmtId="0" fontId="6" fillId="0" borderId="9" xfId="0" applyFont="1" applyBorder="1"/>
    <xf numFmtId="165" fontId="6" fillId="0" borderId="9" xfId="0" applyNumberFormat="1" applyFont="1" applyBorder="1"/>
    <xf numFmtId="165" fontId="6" fillId="2" borderId="9" xfId="0" applyNumberFormat="1" applyFont="1" applyFill="1" applyBorder="1"/>
    <xf numFmtId="167" fontId="6" fillId="0" borderId="9" xfId="0" applyNumberFormat="1" applyFont="1" applyBorder="1" applyAlignment="1">
      <alignment horizontal="center"/>
    </xf>
    <xf numFmtId="0" fontId="4" fillId="0" borderId="10" xfId="0" applyFont="1" applyBorder="1"/>
    <xf numFmtId="165" fontId="4" fillId="0" borderId="10" xfId="0" applyNumberFormat="1" applyFont="1" applyBorder="1"/>
    <xf numFmtId="0" fontId="4" fillId="0" borderId="13" xfId="0" applyFont="1" applyBorder="1"/>
    <xf numFmtId="0" fontId="4" fillId="0" borderId="0" xfId="0" applyFont="1"/>
    <xf numFmtId="0" fontId="5" fillId="0" borderId="13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165" fontId="5" fillId="2" borderId="9" xfId="0" applyNumberFormat="1" applyFont="1" applyFill="1" applyBorder="1"/>
    <xf numFmtId="165" fontId="5" fillId="0" borderId="0" xfId="0" applyNumberFormat="1" applyFont="1"/>
    <xf numFmtId="165" fontId="5" fillId="0" borderId="10" xfId="0" applyNumberFormat="1" applyFont="1" applyBorder="1"/>
    <xf numFmtId="0" fontId="4" fillId="0" borderId="9" xfId="0" applyFont="1" applyBorder="1" applyAlignment="1">
      <alignment vertical="top"/>
    </xf>
    <xf numFmtId="0" fontId="4" fillId="0" borderId="14" xfId="0" applyFont="1" applyBorder="1"/>
    <xf numFmtId="165" fontId="5" fillId="0" borderId="14" xfId="0" applyNumberFormat="1" applyFont="1" applyBorder="1"/>
    <xf numFmtId="3" fontId="3" fillId="0" borderId="12" xfId="0" applyNumberFormat="1" applyFont="1" applyBorder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4" xfId="0" applyNumberFormat="1" applyFont="1" applyBorder="1"/>
    <xf numFmtId="165" fontId="4" fillId="2" borderId="14" xfId="0" applyNumberFormat="1" applyFont="1" applyFill="1" applyBorder="1"/>
    <xf numFmtId="167" fontId="4" fillId="0" borderId="1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9" fillId="0" borderId="9" xfId="0" applyFont="1" applyBorder="1"/>
    <xf numFmtId="37" fontId="5" fillId="0" borderId="9" xfId="0" applyNumberFormat="1" applyFont="1" applyBorder="1"/>
    <xf numFmtId="10" fontId="8" fillId="0" borderId="9" xfId="0" applyNumberFormat="1" applyFont="1" applyBorder="1" applyAlignment="1">
      <alignment horizontal="center"/>
    </xf>
    <xf numFmtId="0" fontId="5" fillId="0" borderId="14" xfId="0" applyFont="1" applyBorder="1"/>
    <xf numFmtId="0" fontId="10" fillId="0" borderId="0" xfId="0" applyFont="1"/>
    <xf numFmtId="0" fontId="4" fillId="0" borderId="17" xfId="0" applyFont="1" applyBorder="1" applyAlignment="1">
      <alignment horizontal="center" vertical="center"/>
    </xf>
    <xf numFmtId="165" fontId="5" fillId="0" borderId="16" xfId="0" applyNumberFormat="1" applyFont="1" applyBorder="1"/>
    <xf numFmtId="164" fontId="5" fillId="0" borderId="9" xfId="0" applyNumberFormat="1" applyFont="1" applyBorder="1"/>
    <xf numFmtId="0" fontId="4" fillId="0" borderId="9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7" fontId="7" fillId="0" borderId="9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/>
    <xf numFmtId="165" fontId="4" fillId="0" borderId="0" xfId="0" applyNumberFormat="1" applyFont="1"/>
    <xf numFmtId="0" fontId="11" fillId="2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165" fontId="12" fillId="0" borderId="0" xfId="0" applyNumberFormat="1" applyFont="1"/>
    <xf numFmtId="0" fontId="12" fillId="0" borderId="11" xfId="0" applyFont="1" applyBorder="1"/>
    <xf numFmtId="0" fontId="12" fillId="2" borderId="0" xfId="0" applyFont="1" applyFill="1"/>
    <xf numFmtId="0" fontId="12" fillId="0" borderId="23" xfId="0" applyFont="1" applyBorder="1"/>
    <xf numFmtId="0" fontId="12" fillId="0" borderId="15" xfId="0" applyFont="1" applyBorder="1"/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right"/>
    </xf>
    <xf numFmtId="0" fontId="13" fillId="0" borderId="9" xfId="0" applyFont="1" applyBorder="1"/>
    <xf numFmtId="0" fontId="13" fillId="0" borderId="0" xfId="0" applyFont="1"/>
    <xf numFmtId="165" fontId="13" fillId="0" borderId="12" xfId="0" applyNumberFormat="1" applyFont="1" applyBorder="1"/>
    <xf numFmtId="165" fontId="13" fillId="2" borderId="9" xfId="0" applyNumberFormat="1" applyFont="1" applyFill="1" applyBorder="1"/>
    <xf numFmtId="165" fontId="13" fillId="0" borderId="9" xfId="0" applyNumberFormat="1" applyFont="1" applyBorder="1"/>
    <xf numFmtId="0" fontId="13" fillId="0" borderId="10" xfId="0" applyFont="1" applyBorder="1" applyAlignment="1">
      <alignment horizontal="center"/>
    </xf>
    <xf numFmtId="0" fontId="13" fillId="2" borderId="9" xfId="0" applyFont="1" applyFill="1" applyBorder="1"/>
    <xf numFmtId="0" fontId="13" fillId="0" borderId="13" xfId="0" applyFont="1" applyBorder="1"/>
    <xf numFmtId="165" fontId="13" fillId="0" borderId="9" xfId="1" applyFont="1" applyBorder="1"/>
    <xf numFmtId="0" fontId="13" fillId="0" borderId="14" xfId="0" applyFont="1" applyBorder="1" applyAlignment="1">
      <alignment horizontal="center"/>
    </xf>
    <xf numFmtId="10" fontId="13" fillId="0" borderId="9" xfId="0" applyNumberFormat="1" applyFont="1" applyBorder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10" fontId="13" fillId="0" borderId="9" xfId="2" applyNumberFormat="1" applyFont="1" applyBorder="1"/>
    <xf numFmtId="0" fontId="13" fillId="0" borderId="10" xfId="0" applyFont="1" applyBorder="1" applyAlignment="1">
      <alignment horizontal="right"/>
    </xf>
    <xf numFmtId="0" fontId="5" fillId="0" borderId="9" xfId="0" quotePrefix="1" applyFont="1" applyBorder="1" applyAlignment="1">
      <alignment horizontal="right"/>
    </xf>
    <xf numFmtId="0" fontId="13" fillId="0" borderId="9" xfId="0" quotePrefix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/>
    </xf>
    <xf numFmtId="0" fontId="17" fillId="5" borderId="32" xfId="0" applyFont="1" applyFill="1" applyBorder="1" applyAlignment="1">
      <alignment horizontal="center" vertical="center"/>
    </xf>
    <xf numFmtId="0" fontId="16" fillId="0" borderId="0" xfId="0" applyFont="1"/>
    <xf numFmtId="0" fontId="15" fillId="0" borderId="33" xfId="0" applyFont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165" fontId="15" fillId="0" borderId="34" xfId="0" applyNumberFormat="1" applyFont="1" applyBorder="1" applyAlignment="1">
      <alignment horizontal="center"/>
    </xf>
    <xf numFmtId="165" fontId="15" fillId="0" borderId="35" xfId="0" applyNumberFormat="1" applyFont="1" applyBorder="1" applyAlignment="1">
      <alignment horizontal="center"/>
    </xf>
    <xf numFmtId="10" fontId="18" fillId="2" borderId="11" xfId="0" applyNumberFormat="1" applyFont="1" applyFill="1" applyBorder="1"/>
    <xf numFmtId="10" fontId="18" fillId="2" borderId="5" xfId="0" applyNumberFormat="1" applyFont="1" applyFill="1" applyBorder="1"/>
    <xf numFmtId="165" fontId="18" fillId="0" borderId="36" xfId="1" applyFont="1" applyBorder="1" applyAlignment="1"/>
    <xf numFmtId="0" fontId="18" fillId="0" borderId="0" xfId="0" applyFont="1"/>
    <xf numFmtId="0" fontId="16" fillId="0" borderId="37" xfId="0" applyFont="1" applyBorder="1" applyAlignment="1">
      <alignment horizontal="right"/>
    </xf>
    <xf numFmtId="0" fontId="16" fillId="2" borderId="11" xfId="0" applyFont="1" applyFill="1" applyBorder="1"/>
    <xf numFmtId="165" fontId="16" fillId="2" borderId="11" xfId="0" applyNumberFormat="1" applyFont="1" applyFill="1" applyBorder="1"/>
    <xf numFmtId="165" fontId="17" fillId="0" borderId="35" xfId="0" applyNumberFormat="1" applyFont="1" applyBorder="1" applyAlignment="1">
      <alignment horizontal="center"/>
    </xf>
    <xf numFmtId="10" fontId="16" fillId="2" borderId="11" xfId="0" applyNumberFormat="1" applyFont="1" applyFill="1" applyBorder="1"/>
    <xf numFmtId="165" fontId="16" fillId="0" borderId="36" xfId="1" applyFont="1" applyBorder="1"/>
    <xf numFmtId="0" fontId="16" fillId="0" borderId="38" xfId="0" applyFont="1" applyBorder="1" applyAlignment="1">
      <alignment horizontal="right"/>
    </xf>
    <xf numFmtId="0" fontId="16" fillId="2" borderId="39" xfId="0" applyFont="1" applyFill="1" applyBorder="1"/>
    <xf numFmtId="165" fontId="16" fillId="2" borderId="39" xfId="0" applyNumberFormat="1" applyFont="1" applyFill="1" applyBorder="1"/>
    <xf numFmtId="165" fontId="17" fillId="0" borderId="13" xfId="0" applyNumberFormat="1" applyFont="1" applyBorder="1" applyAlignment="1">
      <alignment horizontal="center"/>
    </xf>
    <xf numFmtId="10" fontId="16" fillId="2" borderId="39" xfId="0" applyNumberFormat="1" applyFont="1" applyFill="1" applyBorder="1"/>
    <xf numFmtId="165" fontId="16" fillId="0" borderId="40" xfId="1" applyFont="1" applyBorder="1"/>
    <xf numFmtId="0" fontId="18" fillId="0" borderId="37" xfId="0" applyFont="1" applyBorder="1"/>
    <xf numFmtId="0" fontId="18" fillId="2" borderId="11" xfId="0" applyFont="1" applyFill="1" applyBorder="1" applyAlignment="1">
      <alignment horizontal="center"/>
    </xf>
    <xf numFmtId="165" fontId="15" fillId="0" borderId="11" xfId="1" applyFont="1" applyBorder="1" applyAlignment="1"/>
    <xf numFmtId="165" fontId="15" fillId="0" borderId="41" xfId="0" applyNumberFormat="1" applyFont="1" applyBorder="1" applyAlignment="1">
      <alignment horizontal="center"/>
    </xf>
    <xf numFmtId="165" fontId="15" fillId="0" borderId="3" xfId="1" applyFont="1" applyBorder="1" applyAlignment="1"/>
    <xf numFmtId="10" fontId="18" fillId="2" borderId="34" xfId="0" applyNumberFormat="1" applyFont="1" applyFill="1" applyBorder="1"/>
    <xf numFmtId="10" fontId="18" fillId="2" borderId="41" xfId="0" applyNumberFormat="1" applyFont="1" applyFill="1" applyBorder="1"/>
    <xf numFmtId="165" fontId="15" fillId="0" borderId="32" xfId="1" applyFont="1" applyBorder="1" applyAlignment="1"/>
    <xf numFmtId="10" fontId="16" fillId="2" borderId="2" xfId="0" applyNumberFormat="1" applyFont="1" applyFill="1" applyBorder="1"/>
    <xf numFmtId="0" fontId="16" fillId="0" borderId="11" xfId="0" applyFont="1" applyBorder="1"/>
    <xf numFmtId="165" fontId="16" fillId="0" borderId="11" xfId="0" applyNumberFormat="1" applyFont="1" applyBorder="1"/>
    <xf numFmtId="0" fontId="16" fillId="0" borderId="30" xfId="0" applyFont="1" applyBorder="1"/>
    <xf numFmtId="0" fontId="16" fillId="0" borderId="19" xfId="0" applyFont="1" applyBorder="1"/>
    <xf numFmtId="165" fontId="16" fillId="0" borderId="19" xfId="1" applyFont="1" applyBorder="1"/>
    <xf numFmtId="165" fontId="0" fillId="0" borderId="0" xfId="1" applyFont="1"/>
    <xf numFmtId="0" fontId="19" fillId="0" borderId="0" xfId="0" applyFont="1"/>
    <xf numFmtId="0" fontId="13" fillId="0" borderId="34" xfId="0" applyFont="1" applyBorder="1" applyAlignment="1">
      <alignment horizontal="center"/>
    </xf>
    <xf numFmtId="0" fontId="4" fillId="0" borderId="34" xfId="0" applyFont="1" applyBorder="1"/>
    <xf numFmtId="165" fontId="4" fillId="0" borderId="34" xfId="0" applyNumberFormat="1" applyFont="1" applyBorder="1"/>
    <xf numFmtId="165" fontId="5" fillId="0" borderId="34" xfId="0" applyNumberFormat="1" applyFont="1" applyBorder="1"/>
    <xf numFmtId="10" fontId="5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/>
    <xf numFmtId="165" fontId="4" fillId="0" borderId="2" xfId="0" applyNumberFormat="1" applyFont="1" applyBorder="1"/>
    <xf numFmtId="0" fontId="5" fillId="0" borderId="34" xfId="0" applyFont="1" applyBorder="1"/>
    <xf numFmtId="0" fontId="16" fillId="0" borderId="45" xfId="0" applyFont="1" applyBorder="1" applyAlignment="1">
      <alignment horizontal="right"/>
    </xf>
    <xf numFmtId="0" fontId="16" fillId="2" borderId="2" xfId="0" applyFont="1" applyFill="1" applyBorder="1"/>
    <xf numFmtId="165" fontId="16" fillId="2" borderId="2" xfId="0" applyNumberFormat="1" applyFont="1" applyFill="1" applyBorder="1"/>
    <xf numFmtId="165" fontId="16" fillId="0" borderId="46" xfId="1" applyFont="1" applyBorder="1"/>
    <xf numFmtId="0" fontId="18" fillId="0" borderId="47" xfId="0" applyFont="1" applyBorder="1"/>
    <xf numFmtId="0" fontId="18" fillId="2" borderId="41" xfId="0" applyFont="1" applyFill="1" applyBorder="1" applyAlignment="1">
      <alignment horizontal="center"/>
    </xf>
    <xf numFmtId="165" fontId="15" fillId="0" borderId="41" xfId="1" applyFont="1" applyBorder="1" applyAlignment="1"/>
    <xf numFmtId="165" fontId="15" fillId="0" borderId="48" xfId="1" applyFont="1" applyBorder="1" applyAlignment="1"/>
    <xf numFmtId="165" fontId="15" fillId="0" borderId="49" xfId="1" applyFont="1" applyBorder="1" applyAlignment="1"/>
    <xf numFmtId="0" fontId="15" fillId="0" borderId="44" xfId="0" applyFont="1" applyBorder="1" applyAlignment="1">
      <alignment horizontal="center" vertical="center" wrapText="1"/>
    </xf>
    <xf numFmtId="0" fontId="18" fillId="4" borderId="42" xfId="0" applyFont="1" applyFill="1" applyBorder="1"/>
    <xf numFmtId="0" fontId="15" fillId="4" borderId="43" xfId="0" applyFont="1" applyFill="1" applyBorder="1"/>
    <xf numFmtId="165" fontId="15" fillId="4" borderId="44" xfId="1" applyFont="1" applyFill="1" applyBorder="1"/>
    <xf numFmtId="165" fontId="15" fillId="4" borderId="27" xfId="1" applyFont="1" applyFill="1" applyBorder="1"/>
    <xf numFmtId="10" fontId="18" fillId="4" borderId="44" xfId="0" applyNumberFormat="1" applyFont="1" applyFill="1" applyBorder="1"/>
    <xf numFmtId="165" fontId="15" fillId="4" borderId="28" xfId="1" applyFont="1" applyFill="1" applyBorder="1"/>
    <xf numFmtId="165" fontId="15" fillId="4" borderId="29" xfId="1" applyFont="1" applyFill="1" applyBorder="1"/>
    <xf numFmtId="10" fontId="4" fillId="0" borderId="9" xfId="0" applyNumberFormat="1" applyFont="1" applyBorder="1" applyAlignment="1">
      <alignment horizontal="center"/>
    </xf>
    <xf numFmtId="10" fontId="4" fillId="0" borderId="9" xfId="0" applyNumberFormat="1" applyFont="1" applyBorder="1"/>
    <xf numFmtId="10" fontId="4" fillId="0" borderId="9" xfId="0" applyNumberFormat="1" applyFont="1" applyBorder="1" applyAlignment="1">
      <alignment vertical="center"/>
    </xf>
    <xf numFmtId="10" fontId="5" fillId="0" borderId="9" xfId="0" applyNumberFormat="1" applyFont="1" applyBorder="1"/>
    <xf numFmtId="10" fontId="4" fillId="0" borderId="10" xfId="0" applyNumberFormat="1" applyFont="1" applyBorder="1"/>
    <xf numFmtId="10" fontId="4" fillId="0" borderId="34" xfId="0" applyNumberFormat="1" applyFont="1" applyBorder="1"/>
    <xf numFmtId="10" fontId="4" fillId="0" borderId="2" xfId="0" applyNumberFormat="1" applyFont="1" applyBorder="1"/>
    <xf numFmtId="10" fontId="4" fillId="0" borderId="10" xfId="0" applyNumberFormat="1" applyFont="1" applyBorder="1" applyAlignment="1">
      <alignment horizontal="center"/>
    </xf>
    <xf numFmtId="10" fontId="4" fillId="0" borderId="34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65" fontId="4" fillId="0" borderId="9" xfId="1" applyFont="1" applyBorder="1"/>
    <xf numFmtId="165" fontId="13" fillId="0" borderId="0" xfId="0" applyNumberFormat="1" applyFont="1"/>
    <xf numFmtId="165" fontId="20" fillId="0" borderId="9" xfId="0" applyNumberFormat="1" applyFont="1" applyBorder="1"/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165" fontId="5" fillId="0" borderId="2" xfId="1" applyFont="1" applyBorder="1"/>
    <xf numFmtId="165" fontId="5" fillId="0" borderId="2" xfId="0" applyNumberFormat="1" applyFont="1" applyBorder="1"/>
    <xf numFmtId="10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/>
    <xf numFmtId="165" fontId="20" fillId="2" borderId="9" xfId="0" applyNumberFormat="1" applyFont="1" applyFill="1" applyBorder="1"/>
    <xf numFmtId="165" fontId="13" fillId="0" borderId="34" xfId="0" applyNumberFormat="1" applyFont="1" applyBorder="1"/>
    <xf numFmtId="166" fontId="13" fillId="0" borderId="0" xfId="3" applyFont="1"/>
    <xf numFmtId="166" fontId="13" fillId="0" borderId="0" xfId="0" applyNumberFormat="1" applyFont="1"/>
    <xf numFmtId="165" fontId="20" fillId="0" borderId="0" xfId="0" applyNumberFormat="1" applyFont="1"/>
    <xf numFmtId="0" fontId="20" fillId="0" borderId="0" xfId="0" applyFont="1"/>
    <xf numFmtId="0" fontId="20" fillId="0" borderId="9" xfId="0" applyFont="1" applyBorder="1"/>
    <xf numFmtId="165" fontId="20" fillId="0" borderId="12" xfId="0" applyNumberFormat="1" applyFont="1" applyBorder="1"/>
    <xf numFmtId="165" fontId="0" fillId="0" borderId="0" xfId="0" applyNumberFormat="1"/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right" vertical="top"/>
    </xf>
    <xf numFmtId="0" fontId="13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20" fillId="0" borderId="13" xfId="0" applyFont="1" applyBorder="1"/>
    <xf numFmtId="165" fontId="4" fillId="0" borderId="9" xfId="0" applyNumberFormat="1" applyFont="1" applyBorder="1" applyAlignment="1">
      <alignment vertical="top"/>
    </xf>
    <xf numFmtId="0" fontId="20" fillId="0" borderId="35" xfId="0" applyFont="1" applyBorder="1"/>
    <xf numFmtId="165" fontId="5" fillId="0" borderId="50" xfId="0" applyNumberFormat="1" applyFont="1" applyBorder="1"/>
    <xf numFmtId="0" fontId="20" fillId="0" borderId="9" xfId="0" applyFont="1" applyBorder="1" applyAlignment="1">
      <alignment horizontal="center"/>
    </xf>
    <xf numFmtId="165" fontId="5" fillId="0" borderId="9" xfId="1" applyFont="1" applyBorder="1" applyAlignment="1">
      <alignment vertical="top"/>
    </xf>
    <xf numFmtId="0" fontId="20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3" xfId="0" applyFont="1" applyBorder="1" applyAlignment="1">
      <alignment horizontal="left" wrapText="1"/>
    </xf>
    <xf numFmtId="0" fontId="4" fillId="0" borderId="9" xfId="0" applyFont="1" applyBorder="1" applyAlignment="1">
      <alignment horizontal="right" vertical="top"/>
    </xf>
    <xf numFmtId="0" fontId="4" fillId="0" borderId="9" xfId="0" quotePrefix="1" applyFont="1" applyBorder="1" applyAlignment="1">
      <alignment horizontal="right"/>
    </xf>
    <xf numFmtId="0" fontId="5" fillId="0" borderId="13" xfId="0" applyFont="1" applyBorder="1" applyAlignment="1">
      <alignment wrapText="1"/>
    </xf>
    <xf numFmtId="0" fontId="5" fillId="0" borderId="9" xfId="0" quotePrefix="1" applyFont="1" applyBorder="1" applyAlignment="1">
      <alignment horizontal="right" vertical="top"/>
    </xf>
    <xf numFmtId="165" fontId="4" fillId="0" borderId="12" xfId="1" applyFont="1" applyBorder="1"/>
    <xf numFmtId="0" fontId="5" fillId="0" borderId="34" xfId="0" applyFont="1" applyBorder="1" applyAlignment="1">
      <alignment horizontal="right"/>
    </xf>
    <xf numFmtId="0" fontId="4" fillId="0" borderId="35" xfId="0" applyFont="1" applyBorder="1"/>
    <xf numFmtId="165" fontId="4" fillId="0" borderId="34" xfId="1" applyFont="1" applyBorder="1"/>
    <xf numFmtId="165" fontId="4" fillId="0" borderId="50" xfId="1" applyFont="1" applyBorder="1"/>
    <xf numFmtId="0" fontId="20" fillId="0" borderId="34" xfId="0" applyFont="1" applyBorder="1" applyAlignment="1">
      <alignment horizontal="center"/>
    </xf>
    <xf numFmtId="0" fontId="4" fillId="0" borderId="34" xfId="0" quotePrefix="1" applyFont="1" applyBorder="1" applyAlignment="1">
      <alignment horizontal="right"/>
    </xf>
    <xf numFmtId="0" fontId="13" fillId="0" borderId="9" xfId="0" applyFont="1" applyBorder="1" applyAlignment="1">
      <alignment horizontal="right" vertical="top"/>
    </xf>
    <xf numFmtId="0" fontId="4" fillId="0" borderId="9" xfId="0" applyFont="1" applyBorder="1" applyAlignment="1">
      <alignment vertical="top" wrapText="1"/>
    </xf>
    <xf numFmtId="10" fontId="20" fillId="0" borderId="9" xfId="0" applyNumberFormat="1" applyFont="1" applyBorder="1"/>
    <xf numFmtId="0" fontId="20" fillId="0" borderId="34" xfId="0" applyFont="1" applyBorder="1"/>
    <xf numFmtId="165" fontId="20" fillId="0" borderId="34" xfId="0" applyNumberFormat="1" applyFont="1" applyBorder="1"/>
    <xf numFmtId="10" fontId="20" fillId="0" borderId="34" xfId="0" applyNumberFormat="1" applyFont="1" applyBorder="1"/>
    <xf numFmtId="165" fontId="20" fillId="0" borderId="50" xfId="0" applyNumberFormat="1" applyFont="1" applyBorder="1"/>
    <xf numFmtId="0" fontId="20" fillId="0" borderId="34" xfId="0" applyFont="1" applyBorder="1" applyAlignment="1">
      <alignment horizontal="right"/>
    </xf>
    <xf numFmtId="165" fontId="4" fillId="0" borderId="50" xfId="0" applyNumberFormat="1" applyFont="1" applyBorder="1"/>
    <xf numFmtId="0" fontId="20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165" fontId="4" fillId="0" borderId="9" xfId="1" applyFont="1" applyBorder="1" applyAlignment="1">
      <alignment vertical="top"/>
    </xf>
    <xf numFmtId="0" fontId="2" fillId="0" borderId="0" xfId="0" applyFont="1"/>
    <xf numFmtId="0" fontId="13" fillId="0" borderId="2" xfId="0" applyFont="1" applyBorder="1"/>
    <xf numFmtId="0" fontId="11" fillId="0" borderId="2" xfId="0" applyFont="1" applyBorder="1" applyAlignment="1">
      <alignment horizontal="center"/>
    </xf>
    <xf numFmtId="0" fontId="13" fillId="2" borderId="2" xfId="0" applyFont="1" applyFill="1" applyBorder="1"/>
    <xf numFmtId="0" fontId="11" fillId="0" borderId="9" xfId="0" applyFont="1" applyBorder="1" applyAlignment="1">
      <alignment horizontal="center"/>
    </xf>
    <xf numFmtId="0" fontId="13" fillId="0" borderId="34" xfId="0" applyFont="1" applyBorder="1"/>
    <xf numFmtId="165" fontId="13" fillId="2" borderId="34" xfId="0" applyNumberFormat="1" applyFont="1" applyFill="1" applyBorder="1"/>
    <xf numFmtId="10" fontId="13" fillId="0" borderId="34" xfId="0" applyNumberFormat="1" applyFont="1" applyBorder="1"/>
    <xf numFmtId="10" fontId="13" fillId="0" borderId="2" xfId="0" applyNumberFormat="1" applyFont="1" applyBorder="1"/>
    <xf numFmtId="165" fontId="13" fillId="0" borderId="9" xfId="1" applyFont="1" applyBorder="1" applyAlignment="1">
      <alignment vertical="top" wrapText="1"/>
    </xf>
    <xf numFmtId="0" fontId="22" fillId="0" borderId="0" xfId="0" applyFont="1" applyAlignment="1">
      <alignment vertical="center" wrapText="1"/>
    </xf>
    <xf numFmtId="0" fontId="13" fillId="0" borderId="10" xfId="0" applyFont="1" applyBorder="1"/>
    <xf numFmtId="165" fontId="13" fillId="0" borderId="10" xfId="0" applyNumberFormat="1" applyFont="1" applyBorder="1"/>
    <xf numFmtId="165" fontId="13" fillId="2" borderId="10" xfId="0" applyNumberFormat="1" applyFont="1" applyFill="1" applyBorder="1"/>
    <xf numFmtId="10" fontId="13" fillId="0" borderId="10" xfId="0" applyNumberFormat="1" applyFont="1" applyBorder="1"/>
    <xf numFmtId="0" fontId="20" fillId="0" borderId="0" xfId="0" applyFont="1" applyAlignment="1">
      <alignment vertical="top" wrapText="1"/>
    </xf>
    <xf numFmtId="165" fontId="13" fillId="0" borderId="2" xfId="0" applyNumberFormat="1" applyFont="1" applyBorder="1"/>
    <xf numFmtId="165" fontId="13" fillId="2" borderId="2" xfId="0" applyNumberFormat="1" applyFont="1" applyFill="1" applyBorder="1"/>
    <xf numFmtId="165" fontId="13" fillId="2" borderId="0" xfId="0" applyNumberFormat="1" applyFont="1" applyFill="1"/>
    <xf numFmtId="165" fontId="13" fillId="0" borderId="14" xfId="0" applyNumberFormat="1" applyFont="1" applyBorder="1"/>
    <xf numFmtId="165" fontId="13" fillId="2" borderId="14" xfId="0" applyNumberFormat="1" applyFont="1" applyFill="1" applyBorder="1"/>
    <xf numFmtId="0" fontId="13" fillId="0" borderId="14" xfId="0" applyFont="1" applyBorder="1"/>
    <xf numFmtId="0" fontId="13" fillId="2" borderId="14" xfId="0" applyFont="1" applyFill="1" applyBorder="1"/>
    <xf numFmtId="165" fontId="13" fillId="0" borderId="16" xfId="0" applyNumberFormat="1" applyFont="1" applyBorder="1"/>
    <xf numFmtId="165" fontId="13" fillId="2" borderId="16" xfId="0" applyNumberFormat="1" applyFont="1" applyFill="1" applyBorder="1"/>
    <xf numFmtId="0" fontId="13" fillId="0" borderId="16" xfId="0" applyFont="1" applyBorder="1"/>
    <xf numFmtId="0" fontId="13" fillId="2" borderId="0" xfId="0" applyFont="1" applyFill="1" applyAlignment="1">
      <alignment horizontal="center" vertical="center"/>
    </xf>
    <xf numFmtId="10" fontId="13" fillId="0" borderId="0" xfId="2" applyNumberFormat="1" applyFont="1" applyBorder="1" applyAlignment="1">
      <alignment horizontal="center" vertical="center"/>
    </xf>
    <xf numFmtId="164" fontId="13" fillId="0" borderId="9" xfId="0" applyNumberFormat="1" applyFont="1" applyBorder="1"/>
    <xf numFmtId="164" fontId="13" fillId="2" borderId="9" xfId="0" applyNumberFormat="1" applyFont="1" applyFill="1" applyBorder="1"/>
    <xf numFmtId="10" fontId="13" fillId="0" borderId="9" xfId="2" applyNumberFormat="1" applyFont="1" applyFill="1" applyBorder="1"/>
    <xf numFmtId="0" fontId="13" fillId="2" borderId="0" xfId="0" applyFont="1" applyFill="1" applyAlignment="1">
      <alignment horizontal="center"/>
    </xf>
    <xf numFmtId="0" fontId="13" fillId="0" borderId="9" xfId="0" applyFont="1" applyBorder="1" applyAlignment="1">
      <alignment vertical="center" wrapText="1"/>
    </xf>
    <xf numFmtId="0" fontId="13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9" xfId="0" applyFont="1" applyBorder="1" applyAlignment="1">
      <alignment vertical="top" wrapText="1"/>
    </xf>
    <xf numFmtId="0" fontId="20" fillId="0" borderId="7" xfId="0" applyFont="1" applyBorder="1"/>
    <xf numFmtId="166" fontId="20" fillId="0" borderId="0" xfId="0" applyNumberFormat="1" applyFont="1"/>
    <xf numFmtId="166" fontId="20" fillId="0" borderId="7" xfId="0" applyNumberFormat="1" applyFont="1" applyBorder="1"/>
    <xf numFmtId="165" fontId="20" fillId="0" borderId="7" xfId="0" applyNumberFormat="1" applyFont="1" applyBorder="1"/>
    <xf numFmtId="0" fontId="5" fillId="0" borderId="13" xfId="0" applyFont="1" applyBorder="1" applyAlignment="1">
      <alignment horizontal="left" vertical="top" wrapText="1"/>
    </xf>
    <xf numFmtId="0" fontId="20" fillId="0" borderId="9" xfId="0" applyFont="1" applyBorder="1" applyAlignment="1">
      <alignment vertical="top" wrapText="1"/>
    </xf>
    <xf numFmtId="165" fontId="5" fillId="0" borderId="9" xfId="1" applyFont="1" applyBorder="1" applyAlignment="1">
      <alignment vertical="center"/>
    </xf>
    <xf numFmtId="165" fontId="13" fillId="0" borderId="9" xfId="0" applyNumberFormat="1" applyFont="1" applyBorder="1" applyAlignment="1">
      <alignment vertical="center"/>
    </xf>
    <xf numFmtId="165" fontId="13" fillId="2" borderId="9" xfId="0" applyNumberFormat="1" applyFont="1" applyFill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10" fontId="5" fillId="0" borderId="9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vertical="center"/>
    </xf>
    <xf numFmtId="0" fontId="21" fillId="0" borderId="9" xfId="0" applyFont="1" applyBorder="1" applyAlignment="1">
      <alignment vertical="top" wrapText="1"/>
    </xf>
    <xf numFmtId="0" fontId="1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vertical="center"/>
    </xf>
    <xf numFmtId="165" fontId="4" fillId="0" borderId="12" xfId="0" applyNumberFormat="1" applyFont="1" applyBorder="1"/>
    <xf numFmtId="0" fontId="5" fillId="0" borderId="9" xfId="0" applyFont="1" applyBorder="1" applyAlignment="1">
      <alignment horizontal="right" vertical="center"/>
    </xf>
    <xf numFmtId="165" fontId="13" fillId="0" borderId="9" xfId="1" applyFont="1" applyBorder="1" applyAlignment="1">
      <alignment horizontal="left" vertical="center" wrapText="1"/>
    </xf>
    <xf numFmtId="165" fontId="13" fillId="0" borderId="12" xfId="0" applyNumberFormat="1" applyFont="1" applyBorder="1" applyAlignment="1">
      <alignment vertical="center"/>
    </xf>
    <xf numFmtId="165" fontId="13" fillId="0" borderId="9" xfId="1" applyFont="1" applyBorder="1" applyAlignment="1">
      <alignment vertical="center"/>
    </xf>
    <xf numFmtId="0" fontId="20" fillId="0" borderId="13" xfId="0" applyFont="1" applyBorder="1" applyAlignment="1">
      <alignment wrapText="1"/>
    </xf>
    <xf numFmtId="165" fontId="4" fillId="7" borderId="51" xfId="0" applyNumberFormat="1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13" fillId="0" borderId="1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166" fontId="8" fillId="6" borderId="0" xfId="0" applyNumberFormat="1" applyFont="1" applyFill="1"/>
    <xf numFmtId="0" fontId="24" fillId="0" borderId="11" xfId="0" applyFont="1" applyBorder="1"/>
    <xf numFmtId="165" fontId="21" fillId="0" borderId="0" xfId="0" applyNumberFormat="1" applyFont="1"/>
    <xf numFmtId="166" fontId="12" fillId="0" borderId="0" xfId="0" applyNumberFormat="1" applyFont="1"/>
    <xf numFmtId="0" fontId="23" fillId="0" borderId="11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165" fontId="23" fillId="0" borderId="9" xfId="0" applyNumberFormat="1" applyFont="1" applyBorder="1"/>
    <xf numFmtId="165" fontId="23" fillId="0" borderId="34" xfId="0" applyNumberFormat="1" applyFont="1" applyBorder="1"/>
    <xf numFmtId="165" fontId="23" fillId="0" borderId="9" xfId="1" applyFont="1" applyBorder="1"/>
    <xf numFmtId="165" fontId="25" fillId="0" borderId="9" xfId="0" applyNumberFormat="1" applyFont="1" applyBorder="1"/>
    <xf numFmtId="165" fontId="23" fillId="0" borderId="10" xfId="0" applyNumberFormat="1" applyFont="1" applyBorder="1"/>
    <xf numFmtId="165" fontId="4" fillId="0" borderId="2" xfId="1" applyFont="1" applyBorder="1"/>
    <xf numFmtId="165" fontId="25" fillId="0" borderId="12" xfId="0" applyNumberFormat="1" applyFont="1" applyBorder="1"/>
    <xf numFmtId="166" fontId="25" fillId="0" borderId="0" xfId="0" applyNumberFormat="1" applyFont="1"/>
    <xf numFmtId="165" fontId="3" fillId="0" borderId="0" xfId="0" applyNumberFormat="1" applyFont="1"/>
    <xf numFmtId="0" fontId="1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165" fontId="4" fillId="0" borderId="9" xfId="1" applyFont="1" applyBorder="1" applyProtection="1"/>
    <xf numFmtId="165" fontId="4" fillId="0" borderId="12" xfId="1" applyFont="1" applyBorder="1" applyProtection="1"/>
    <xf numFmtId="165" fontId="5" fillId="0" borderId="9" xfId="1" applyFont="1" applyBorder="1" applyProtection="1"/>
    <xf numFmtId="165" fontId="4" fillId="0" borderId="34" xfId="1" applyFont="1" applyBorder="1" applyProtection="1"/>
    <xf numFmtId="165" fontId="4" fillId="0" borderId="50" xfId="1" applyFont="1" applyBorder="1" applyProtection="1"/>
    <xf numFmtId="165" fontId="5" fillId="0" borderId="12" xfId="1" applyFont="1" applyBorder="1" applyProtection="1"/>
    <xf numFmtId="10" fontId="13" fillId="0" borderId="9" xfId="2" applyNumberFormat="1" applyFont="1" applyBorder="1" applyProtection="1"/>
    <xf numFmtId="165" fontId="4" fillId="0" borderId="9" xfId="1" applyFont="1" applyBorder="1" applyAlignment="1" applyProtection="1">
      <alignment vertical="top"/>
    </xf>
    <xf numFmtId="165" fontId="13" fillId="0" borderId="9" xfId="1" applyFont="1" applyBorder="1" applyAlignment="1" applyProtection="1">
      <alignment horizontal="left" vertical="center" wrapText="1"/>
    </xf>
    <xf numFmtId="165" fontId="5" fillId="0" borderId="9" xfId="1" applyFont="1" applyBorder="1" applyAlignment="1" applyProtection="1">
      <alignment vertical="center"/>
    </xf>
    <xf numFmtId="165" fontId="13" fillId="0" borderId="9" xfId="1" applyFont="1" applyBorder="1" applyAlignment="1" applyProtection="1">
      <alignment vertical="top" wrapText="1"/>
    </xf>
    <xf numFmtId="165" fontId="13" fillId="0" borderId="9" xfId="1" applyFont="1" applyBorder="1" applyProtection="1"/>
    <xf numFmtId="0" fontId="27" fillId="0" borderId="9" xfId="0" applyFont="1" applyBorder="1" applyAlignment="1">
      <alignment horizontal="center"/>
    </xf>
    <xf numFmtId="165" fontId="23" fillId="0" borderId="9" xfId="1" applyFont="1" applyBorder="1" applyProtection="1"/>
    <xf numFmtId="165" fontId="5" fillId="0" borderId="9" xfId="1" applyFont="1" applyBorder="1" applyAlignment="1" applyProtection="1">
      <alignment vertical="top"/>
    </xf>
    <xf numFmtId="165" fontId="5" fillId="0" borderId="2" xfId="1" applyFont="1" applyBorder="1" applyProtection="1"/>
    <xf numFmtId="165" fontId="4" fillId="0" borderId="2" xfId="1" applyFont="1" applyBorder="1" applyProtection="1"/>
    <xf numFmtId="0" fontId="20" fillId="0" borderId="13" xfId="0" applyFont="1" applyBorder="1" applyAlignment="1">
      <alignment horizontal="left" wrapText="1"/>
    </xf>
    <xf numFmtId="10" fontId="13" fillId="0" borderId="0" xfId="2" applyNumberFormat="1" applyFont="1" applyBorder="1" applyAlignment="1" applyProtection="1">
      <alignment horizontal="center" vertical="center"/>
    </xf>
    <xf numFmtId="10" fontId="13" fillId="0" borderId="9" xfId="2" applyNumberFormat="1" applyFont="1" applyFill="1" applyBorder="1" applyProtection="1"/>
    <xf numFmtId="0" fontId="28" fillId="0" borderId="13" xfId="0" applyFont="1" applyBorder="1"/>
    <xf numFmtId="0" fontId="23" fillId="0" borderId="13" xfId="0" applyFont="1" applyBorder="1"/>
    <xf numFmtId="0" fontId="15" fillId="0" borderId="9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29" fillId="0" borderId="0" xfId="0" applyFont="1"/>
    <xf numFmtId="0" fontId="30" fillId="0" borderId="0" xfId="0" applyFont="1"/>
    <xf numFmtId="165" fontId="23" fillId="0" borderId="9" xfId="1" applyFont="1" applyBorder="1" applyAlignment="1">
      <alignment vertical="top"/>
    </xf>
    <xf numFmtId="165" fontId="28" fillId="0" borderId="9" xfId="0" applyNumberFormat="1" applyFont="1" applyBorder="1"/>
    <xf numFmtId="165" fontId="31" fillId="0" borderId="9" xfId="0" applyNumberFormat="1" applyFont="1" applyBorder="1"/>
    <xf numFmtId="165" fontId="28" fillId="0" borderId="34" xfId="0" applyNumberFormat="1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right" vertical="center"/>
    </xf>
    <xf numFmtId="0" fontId="23" fillId="0" borderId="9" xfId="0" applyFont="1" applyBorder="1"/>
    <xf numFmtId="0" fontId="28" fillId="0" borderId="1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5" fontId="4" fillId="6" borderId="2" xfId="0" applyNumberFormat="1" applyFont="1" applyFill="1" applyBorder="1" applyAlignment="1">
      <alignment horizontal="center" vertical="center"/>
    </xf>
    <xf numFmtId="165" fontId="4" fillId="6" borderId="10" xfId="0" applyNumberFormat="1" applyFont="1" applyFill="1" applyBorder="1" applyAlignment="1">
      <alignment horizontal="center" vertical="center"/>
    </xf>
    <xf numFmtId="10" fontId="4" fillId="6" borderId="2" xfId="0" applyNumberFormat="1" applyFont="1" applyFill="1" applyBorder="1" applyAlignment="1">
      <alignment vertical="center"/>
    </xf>
    <xf numFmtId="10" fontId="4" fillId="6" borderId="10" xfId="0" applyNumberFormat="1" applyFont="1" applyFill="1" applyBorder="1" applyAlignment="1">
      <alignment vertical="center"/>
    </xf>
    <xf numFmtId="10" fontId="4" fillId="6" borderId="2" xfId="0" applyNumberFormat="1" applyFont="1" applyFill="1" applyBorder="1" applyAlignment="1">
      <alignment horizontal="center" vertical="center"/>
    </xf>
    <xf numFmtId="10" fontId="4" fillId="6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/>
    </xf>
    <xf numFmtId="165" fontId="13" fillId="6" borderId="11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165" fontId="4" fillId="6" borderId="11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165" fontId="13" fillId="6" borderId="2" xfId="0" applyNumberFormat="1" applyFont="1" applyFill="1" applyBorder="1" applyAlignment="1">
      <alignment horizontal="center" vertical="center"/>
    </xf>
    <xf numFmtId="165" fontId="13" fillId="6" borderId="10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10" fontId="4" fillId="6" borderId="11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10" fontId="4" fillId="6" borderId="11" xfId="0" applyNumberFormat="1" applyFont="1" applyFill="1" applyBorder="1" applyAlignment="1">
      <alignment horizontal="center" vertical="center"/>
    </xf>
    <xf numFmtId="10" fontId="4" fillId="6" borderId="2" xfId="0" applyNumberFormat="1" applyFont="1" applyFill="1" applyBorder="1" applyAlignment="1">
      <alignment horizontal="center" vertical="center" wrapText="1"/>
    </xf>
    <xf numFmtId="10" fontId="4" fillId="6" borderId="10" xfId="0" applyNumberFormat="1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165" fontId="7" fillId="6" borderId="2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0" fontId="4" fillId="6" borderId="34" xfId="0" applyNumberFormat="1" applyFont="1" applyFill="1" applyBorder="1" applyAlignment="1">
      <alignment horizontal="center" vertical="center" wrapText="1"/>
    </xf>
    <xf numFmtId="10" fontId="7" fillId="6" borderId="2" xfId="0" applyNumberFormat="1" applyFont="1" applyFill="1" applyBorder="1" applyAlignment="1">
      <alignment vertical="center"/>
    </xf>
    <xf numFmtId="10" fontId="7" fillId="6" borderId="1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0" fontId="4" fillId="6" borderId="0" xfId="0" applyNumberFormat="1" applyFont="1" applyFill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167" fontId="4" fillId="0" borderId="19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7" fontId="7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4" fillId="7" borderId="22" xfId="0" applyNumberFormat="1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10" fontId="4" fillId="7" borderId="23" xfId="0" applyNumberFormat="1" applyFont="1" applyFill="1" applyBorder="1" applyAlignment="1">
      <alignment horizontal="center" vertical="center"/>
    </xf>
    <xf numFmtId="10" fontId="4" fillId="7" borderId="15" xfId="0" applyNumberFormat="1" applyFont="1" applyFill="1" applyBorder="1" applyAlignment="1">
      <alignment horizontal="center" vertical="center"/>
    </xf>
    <xf numFmtId="10" fontId="7" fillId="7" borderId="22" xfId="0" applyNumberFormat="1" applyFont="1" applyFill="1" applyBorder="1" applyAlignment="1">
      <alignment horizontal="center" vertical="center"/>
    </xf>
    <xf numFmtId="10" fontId="7" fillId="7" borderId="26" xfId="0" applyNumberFormat="1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165" fontId="4" fillId="7" borderId="26" xfId="0" applyNumberFormat="1" applyFont="1" applyFill="1" applyBorder="1" applyAlignment="1">
      <alignment horizontal="center" vertical="center"/>
    </xf>
    <xf numFmtId="165" fontId="4" fillId="7" borderId="22" xfId="0" applyNumberFormat="1" applyFont="1" applyFill="1" applyBorder="1" applyAlignment="1">
      <alignment horizontal="center" vertical="center" wrapText="1"/>
    </xf>
    <xf numFmtId="165" fontId="4" fillId="7" borderId="26" xfId="0" applyNumberFormat="1" applyFont="1" applyFill="1" applyBorder="1" applyAlignment="1">
      <alignment horizontal="center" vertical="center" wrapText="1"/>
    </xf>
    <xf numFmtId="165" fontId="19" fillId="0" borderId="0" xfId="1" applyFont="1" applyBorder="1" applyAlignment="1">
      <alignment horizontal="center"/>
    </xf>
    <xf numFmtId="165" fontId="12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165" fontId="4" fillId="6" borderId="34" xfId="0" applyNumberFormat="1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165" fontId="23" fillId="7" borderId="22" xfId="0" applyNumberFormat="1" applyFont="1" applyFill="1" applyBorder="1" applyAlignment="1">
      <alignment horizontal="center" vertical="center"/>
    </xf>
    <xf numFmtId="165" fontId="23" fillId="7" borderId="26" xfId="0" applyNumberFormat="1" applyFont="1" applyFill="1" applyBorder="1" applyAlignment="1">
      <alignment horizontal="center" vertical="center"/>
    </xf>
    <xf numFmtId="165" fontId="23" fillId="6" borderId="2" xfId="0" applyNumberFormat="1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Font="1" applyBorder="1" applyAlignment="1">
      <alignment horizontal="center"/>
    </xf>
    <xf numFmtId="0" fontId="23" fillId="7" borderId="26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165" fontId="23" fillId="6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3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AD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JANUARI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319952281260487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grafikjan!$C$3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grafikjan!$B$4:$B$13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grafikjan!$C$4:$C$13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2244824800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6-4D2F-9542-6AE213BE96E9}"/>
            </c:ext>
          </c:extLst>
        </c:ser>
        <c:ser>
          <c:idx val="1"/>
          <c:order val="1"/>
          <c:tx>
            <c:strRef>
              <c:f>grafikjan!$D$3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grafikjan!$B$4:$B$13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grafikjan!$D$4:$D$13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168020638</c:v>
                </c:pt>
                <c:pt idx="9">
                  <c:v>663014515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6-4D2F-9542-6AE213BE96E9}"/>
            </c:ext>
          </c:extLst>
        </c:ser>
        <c:ser>
          <c:idx val="2"/>
          <c:order val="2"/>
          <c:tx>
            <c:strRef>
              <c:f>grafikjan!$E$3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grafikjan!$B$4:$B$13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grafikjan!$E$4:$E$13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168020638</c:v>
                </c:pt>
                <c:pt idx="9">
                  <c:v>663014515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6-4D2F-9542-6AE213BE9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251968"/>
        <c:axId val="87261952"/>
        <c:axId val="0"/>
      </c:bar3DChart>
      <c:catAx>
        <c:axId val="8725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261952"/>
        <c:crosses val="autoZero"/>
        <c:auto val="1"/>
        <c:lblAlgn val="ctr"/>
        <c:lblOffset val="100"/>
        <c:noMultiLvlLbl val="0"/>
      </c:catAx>
      <c:valAx>
        <c:axId val="87261952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87251968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PEBRUARI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319952281260487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peb'!$C$3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peb'!$B$4:$B$13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peb'!$C$4:$C$13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9-4FEE-8D0F-8D8288881E49}"/>
            </c:ext>
          </c:extLst>
        </c:ser>
        <c:ser>
          <c:idx val="1"/>
          <c:order val="1"/>
          <c:tx>
            <c:strRef>
              <c:f>'grafik peb'!$D$3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peb'!$B$4:$B$13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peb'!$D$4:$D$13</c:f>
              <c:numCache>
                <c:formatCode>_(* #,##0_);_(* \(#,##0\);_(* "-"_);_(@_)</c:formatCode>
                <c:ptCount val="10"/>
                <c:pt idx="0">
                  <c:v>75604220</c:v>
                </c:pt>
                <c:pt idx="1">
                  <c:v>920302000</c:v>
                </c:pt>
                <c:pt idx="2">
                  <c:v>24700000</c:v>
                </c:pt>
                <c:pt idx="3">
                  <c:v>54241200</c:v>
                </c:pt>
                <c:pt idx="4">
                  <c:v>15500250</c:v>
                </c:pt>
                <c:pt idx="5">
                  <c:v>0</c:v>
                </c:pt>
                <c:pt idx="6">
                  <c:v>54893500</c:v>
                </c:pt>
                <c:pt idx="7">
                  <c:v>45751500</c:v>
                </c:pt>
                <c:pt idx="8">
                  <c:v>1252965610</c:v>
                </c:pt>
                <c:pt idx="9">
                  <c:v>1434268818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9-4FEE-8D0F-8D8288881E49}"/>
            </c:ext>
          </c:extLst>
        </c:ser>
        <c:ser>
          <c:idx val="2"/>
          <c:order val="2"/>
          <c:tx>
            <c:strRef>
              <c:f>'grafik peb'!$E$3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peb'!$B$4:$B$13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</c:v>
                </c:pt>
                <c:pt idx="4">
                  <c:v>PEMBANGUNAN</c:v>
                </c:pt>
                <c:pt idx="5">
                  <c:v>PBJ</c:v>
                </c:pt>
                <c:pt idx="6">
                  <c:v>KOM, PIM &amp; PROT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peb'!$E$4:$E$13</c:f>
              <c:numCache>
                <c:formatCode>_(* #,##0_);_(* \(#,##0\);_(* "-"_);_(@_)</c:formatCode>
                <c:ptCount val="10"/>
                <c:pt idx="0">
                  <c:v>75437020</c:v>
                </c:pt>
                <c:pt idx="1">
                  <c:v>920293000</c:v>
                </c:pt>
                <c:pt idx="2">
                  <c:v>24625000</c:v>
                </c:pt>
                <c:pt idx="3">
                  <c:v>40741950</c:v>
                </c:pt>
                <c:pt idx="4">
                  <c:v>14449756</c:v>
                </c:pt>
                <c:pt idx="5">
                  <c:v>0</c:v>
                </c:pt>
                <c:pt idx="6">
                  <c:v>0</c:v>
                </c:pt>
                <c:pt idx="7">
                  <c:v>45445500</c:v>
                </c:pt>
                <c:pt idx="8">
                  <c:v>1252255704</c:v>
                </c:pt>
                <c:pt idx="9">
                  <c:v>1433056118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9-4FEE-8D0F-8D8288881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577408"/>
        <c:axId val="94578944"/>
        <c:axId val="0"/>
      </c:bar3DChart>
      <c:catAx>
        <c:axId val="9457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578944"/>
        <c:crosses val="autoZero"/>
        <c:auto val="1"/>
        <c:lblAlgn val="ctr"/>
        <c:lblOffset val="100"/>
        <c:noMultiLvlLbl val="0"/>
      </c:catAx>
      <c:valAx>
        <c:axId val="94578944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577408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MARET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319952281260487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maret'!$C$3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maret'!$B$4:$B$13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maret'!$C$4:$C$13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8-4B02-B7E6-7917635B7E84}"/>
            </c:ext>
          </c:extLst>
        </c:ser>
        <c:ser>
          <c:idx val="1"/>
          <c:order val="1"/>
          <c:tx>
            <c:strRef>
              <c:f>'grafik maret'!$D$3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maret'!$B$4:$B$13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maret'!$D$4:$D$13</c:f>
              <c:numCache>
                <c:formatCode>_(* #,##0_);_(* \(#,##0\);_(* "-"_);_(@_)</c:formatCode>
                <c:ptCount val="10"/>
                <c:pt idx="0">
                  <c:v>215389640</c:v>
                </c:pt>
                <c:pt idx="1">
                  <c:v>2839743000</c:v>
                </c:pt>
                <c:pt idx="2">
                  <c:v>61575000</c:v>
                </c:pt>
                <c:pt idx="3">
                  <c:v>163983150</c:v>
                </c:pt>
                <c:pt idx="4">
                  <c:v>53855250</c:v>
                </c:pt>
                <c:pt idx="5">
                  <c:v>30892980</c:v>
                </c:pt>
                <c:pt idx="6">
                  <c:v>151817000</c:v>
                </c:pt>
                <c:pt idx="7">
                  <c:v>91197000</c:v>
                </c:pt>
                <c:pt idx="8">
                  <c:v>2367143469</c:v>
                </c:pt>
                <c:pt idx="9">
                  <c:v>4016150100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8-4B02-B7E6-7917635B7E84}"/>
            </c:ext>
          </c:extLst>
        </c:ser>
        <c:ser>
          <c:idx val="2"/>
          <c:order val="2"/>
          <c:tx>
            <c:strRef>
              <c:f>'grafik maret'!$E$3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maret'!$B$4:$B$13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maret'!$E$4:$E$13</c:f>
              <c:numCache>
                <c:formatCode>_(* #,##0_);_(* \(#,##0\);_(* "-"_);_(@_)</c:formatCode>
                <c:ptCount val="10"/>
                <c:pt idx="0">
                  <c:v>199384320</c:v>
                </c:pt>
                <c:pt idx="1">
                  <c:v>2823406500</c:v>
                </c:pt>
                <c:pt idx="2">
                  <c:v>60320500</c:v>
                </c:pt>
                <c:pt idx="3">
                  <c:v>148684950</c:v>
                </c:pt>
                <c:pt idx="4">
                  <c:v>52414806</c:v>
                </c:pt>
                <c:pt idx="5">
                  <c:v>29119348</c:v>
                </c:pt>
                <c:pt idx="6">
                  <c:v>29119348</c:v>
                </c:pt>
                <c:pt idx="7">
                  <c:v>90616400</c:v>
                </c:pt>
                <c:pt idx="8">
                  <c:v>2367016314</c:v>
                </c:pt>
                <c:pt idx="9">
                  <c:v>4014845400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8-4B02-B7E6-7917635B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636672"/>
        <c:axId val="94646656"/>
        <c:axId val="0"/>
      </c:bar3DChart>
      <c:catAx>
        <c:axId val="9463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646656"/>
        <c:crosses val="autoZero"/>
        <c:auto val="1"/>
        <c:lblAlgn val="ctr"/>
        <c:lblOffset val="100"/>
        <c:noMultiLvlLbl val="0"/>
      </c:catAx>
      <c:valAx>
        <c:axId val="94646656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636672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APRIL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319952281260487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april'!$C$3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april'!$B$4:$B$13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april'!$C$4:$C$13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8-464F-8329-8B5C19B87129}"/>
            </c:ext>
          </c:extLst>
        </c:ser>
        <c:ser>
          <c:idx val="1"/>
          <c:order val="1"/>
          <c:tx>
            <c:strRef>
              <c:f>'grafik april'!$D$3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april'!$B$4:$B$13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april'!$D$4:$D$13</c:f>
              <c:numCache>
                <c:formatCode>_(* #,##0_);_(* \(#,##0\);_(* "-"_);_(@_)</c:formatCode>
                <c:ptCount val="10"/>
                <c:pt idx="0">
                  <c:v>340509240</c:v>
                </c:pt>
                <c:pt idx="1">
                  <c:v>5290824500</c:v>
                </c:pt>
                <c:pt idx="2">
                  <c:v>61575000</c:v>
                </c:pt>
                <c:pt idx="3">
                  <c:v>259793150</c:v>
                </c:pt>
                <c:pt idx="4">
                  <c:v>67855250</c:v>
                </c:pt>
                <c:pt idx="5">
                  <c:v>83812328</c:v>
                </c:pt>
                <c:pt idx="6">
                  <c:v>260514000</c:v>
                </c:pt>
                <c:pt idx="7">
                  <c:v>146767900</c:v>
                </c:pt>
                <c:pt idx="8">
                  <c:v>3291601666</c:v>
                </c:pt>
                <c:pt idx="9">
                  <c:v>7306417084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8-464F-8329-8B5C19B87129}"/>
            </c:ext>
          </c:extLst>
        </c:ser>
        <c:ser>
          <c:idx val="2"/>
          <c:order val="2"/>
          <c:tx>
            <c:strRef>
              <c:f>'grafik april'!$E$3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april'!$B$4:$B$13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april'!$E$4:$E$13</c:f>
              <c:numCache>
                <c:formatCode>_(* #,##0_);_(* \(#,##0\);_(* "-"_);_(@_)</c:formatCode>
                <c:ptCount val="10"/>
                <c:pt idx="0">
                  <c:v>313172420</c:v>
                </c:pt>
                <c:pt idx="1">
                  <c:v>5288897000</c:v>
                </c:pt>
                <c:pt idx="2">
                  <c:v>60320500</c:v>
                </c:pt>
                <c:pt idx="3">
                  <c:v>247012949</c:v>
                </c:pt>
                <c:pt idx="4">
                  <c:v>65984756</c:v>
                </c:pt>
                <c:pt idx="5">
                  <c:v>77186948</c:v>
                </c:pt>
                <c:pt idx="6">
                  <c:v>77186948</c:v>
                </c:pt>
                <c:pt idx="7">
                  <c:v>146314320</c:v>
                </c:pt>
                <c:pt idx="8">
                  <c:v>3289189769</c:v>
                </c:pt>
                <c:pt idx="9">
                  <c:v>7306227384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8-464F-8329-8B5C19B87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732672"/>
        <c:axId val="94734208"/>
        <c:axId val="0"/>
      </c:bar3DChart>
      <c:catAx>
        <c:axId val="9473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734208"/>
        <c:crosses val="autoZero"/>
        <c:auto val="1"/>
        <c:lblAlgn val="ctr"/>
        <c:lblOffset val="100"/>
        <c:noMultiLvlLbl val="0"/>
      </c:catAx>
      <c:valAx>
        <c:axId val="94734208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732672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MEI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16738368140472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mei'!$C$3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mei'!$B$4:$B$13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mei'!$C$4:$C$13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5-44E3-A2B8-2944D795C1A6}"/>
            </c:ext>
          </c:extLst>
        </c:ser>
        <c:ser>
          <c:idx val="1"/>
          <c:order val="1"/>
          <c:tx>
            <c:strRef>
              <c:f>'grafik mei'!$D$3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mei'!$B$4:$B$13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mei'!$D$4:$D$13</c:f>
              <c:numCache>
                <c:formatCode>_(* #,##0_);_(* \(#,##0\);_(* "-"_);_(@_)</c:formatCode>
                <c:ptCount val="10"/>
                <c:pt idx="0">
                  <c:v>471142680</c:v>
                </c:pt>
                <c:pt idx="1">
                  <c:v>6172164500</c:v>
                </c:pt>
                <c:pt idx="2">
                  <c:v>100770500</c:v>
                </c:pt>
                <c:pt idx="3">
                  <c:v>793793150</c:v>
                </c:pt>
                <c:pt idx="4">
                  <c:v>2293334750</c:v>
                </c:pt>
                <c:pt idx="5">
                  <c:v>182000303</c:v>
                </c:pt>
                <c:pt idx="6">
                  <c:v>346246650</c:v>
                </c:pt>
                <c:pt idx="7">
                  <c:v>305415820</c:v>
                </c:pt>
                <c:pt idx="8">
                  <c:v>4603829496</c:v>
                </c:pt>
                <c:pt idx="9">
                  <c:v>9092500786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5-44E3-A2B8-2944D795C1A6}"/>
            </c:ext>
          </c:extLst>
        </c:ser>
        <c:ser>
          <c:idx val="2"/>
          <c:order val="2"/>
          <c:tx>
            <c:strRef>
              <c:f>'grafik mei'!$E$3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mei'!$B$4:$B$13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mei'!$E$4:$E$13</c:f>
              <c:numCache>
                <c:formatCode>_(* #,##0_);_(* \(#,##0\);_(* "-"_);_(@_)</c:formatCode>
                <c:ptCount val="10"/>
                <c:pt idx="0">
                  <c:v>470162680</c:v>
                </c:pt>
                <c:pt idx="1">
                  <c:v>6171510000</c:v>
                </c:pt>
                <c:pt idx="2">
                  <c:v>98742750</c:v>
                </c:pt>
                <c:pt idx="3">
                  <c:v>773658849</c:v>
                </c:pt>
                <c:pt idx="4">
                  <c:v>2288767656</c:v>
                </c:pt>
                <c:pt idx="5">
                  <c:v>175374923</c:v>
                </c:pt>
                <c:pt idx="6">
                  <c:v>175374923</c:v>
                </c:pt>
                <c:pt idx="7">
                  <c:v>305405820</c:v>
                </c:pt>
                <c:pt idx="8">
                  <c:v>4601447764</c:v>
                </c:pt>
                <c:pt idx="9">
                  <c:v>9092489086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5-44E3-A2B8-2944D795C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500736"/>
        <c:axId val="96506624"/>
        <c:axId val="0"/>
      </c:bar3DChart>
      <c:catAx>
        <c:axId val="9650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6506624"/>
        <c:crosses val="autoZero"/>
        <c:auto val="1"/>
        <c:lblAlgn val="ctr"/>
        <c:lblOffset val="100"/>
        <c:noMultiLvlLbl val="0"/>
      </c:catAx>
      <c:valAx>
        <c:axId val="96506624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6500736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JUNI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16738368140472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juni'!$C$3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juni'!$B$4:$B$13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juni'!$C$4:$C$13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C-4A04-912D-71131F4AE7DF}"/>
            </c:ext>
          </c:extLst>
        </c:ser>
        <c:ser>
          <c:idx val="1"/>
          <c:order val="1"/>
          <c:tx>
            <c:strRef>
              <c:f>'grafik juni'!$D$3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juni'!$B$4:$B$13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juni'!$D$4:$D$13</c:f>
              <c:numCache>
                <c:formatCode>_(* #,##0_);_(* \(#,##0\);_(* "-"_);_(@_)</c:formatCode>
                <c:ptCount val="10"/>
                <c:pt idx="0">
                  <c:v>571799280</c:v>
                </c:pt>
                <c:pt idx="1">
                  <c:v>12227590300</c:v>
                </c:pt>
                <c:pt idx="2">
                  <c:v>100770500</c:v>
                </c:pt>
                <c:pt idx="3">
                  <c:v>826439050</c:v>
                </c:pt>
                <c:pt idx="4">
                  <c:v>3880090750</c:v>
                </c:pt>
                <c:pt idx="5">
                  <c:v>208767903</c:v>
                </c:pt>
                <c:pt idx="6">
                  <c:v>401082650</c:v>
                </c:pt>
                <c:pt idx="7">
                  <c:v>441077320</c:v>
                </c:pt>
                <c:pt idx="8">
                  <c:v>5883332060</c:v>
                </c:pt>
                <c:pt idx="9">
                  <c:v>12338093351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C-4A04-912D-71131F4AE7DF}"/>
            </c:ext>
          </c:extLst>
        </c:ser>
        <c:ser>
          <c:idx val="2"/>
          <c:order val="2"/>
          <c:tx>
            <c:strRef>
              <c:f>'grafik juni'!$E$3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juni'!$B$4:$B$13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juni'!$E$4:$E$13</c:f>
              <c:numCache>
                <c:formatCode>_(* #,##0_);_(* \(#,##0\);_(* "-"_);_(@_)</c:formatCode>
                <c:ptCount val="10"/>
                <c:pt idx="0">
                  <c:v>567569280</c:v>
                </c:pt>
                <c:pt idx="1">
                  <c:v>12226342500</c:v>
                </c:pt>
                <c:pt idx="2">
                  <c:v>98742750</c:v>
                </c:pt>
                <c:pt idx="3">
                  <c:v>818464649</c:v>
                </c:pt>
                <c:pt idx="4">
                  <c:v>3879828356</c:v>
                </c:pt>
                <c:pt idx="5">
                  <c:v>207584673</c:v>
                </c:pt>
                <c:pt idx="6">
                  <c:v>207584673</c:v>
                </c:pt>
                <c:pt idx="7">
                  <c:v>441067320</c:v>
                </c:pt>
                <c:pt idx="8">
                  <c:v>5882159215</c:v>
                </c:pt>
                <c:pt idx="9">
                  <c:v>12338081651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C-4A04-912D-71131F4AE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956800"/>
        <c:axId val="96958336"/>
        <c:axId val="0"/>
      </c:bar3DChart>
      <c:catAx>
        <c:axId val="9695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6958336"/>
        <c:crosses val="autoZero"/>
        <c:auto val="1"/>
        <c:lblAlgn val="ctr"/>
        <c:lblOffset val="100"/>
        <c:noMultiLvlLbl val="0"/>
      </c:catAx>
      <c:valAx>
        <c:axId val="96958336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6956800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4803149606299213" l="0.70866141732283472" r="0.70866141732283472" t="0.23622047244094491" header="0.31496062992125984" footer="0.31496062992125984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JULI</a:t>
            </a:r>
            <a:r>
              <a:rPr lang="en-US"/>
              <a:t> 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16738368140472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juli'!$C$3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juli'!$B$4:$B$13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juli'!$C$4:$C$13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12180425000</c:v>
                </c:pt>
                <c:pt idx="9">
                  <c:v>25992643593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D-4C3A-A8B6-CACAA702F9C5}"/>
            </c:ext>
          </c:extLst>
        </c:ser>
        <c:ser>
          <c:idx val="1"/>
          <c:order val="1"/>
          <c:tx>
            <c:strRef>
              <c:f>'grafik juli'!$D$3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juli'!$B$4:$B$13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juli'!$D$4:$D$13</c:f>
              <c:numCache>
                <c:formatCode>_(* #,##0_);_(* \(#,##0\);_(* "-"_);_(@_)</c:formatCode>
                <c:ptCount val="10"/>
                <c:pt idx="0">
                  <c:v>609577780</c:v>
                </c:pt>
                <c:pt idx="1">
                  <c:v>14216163300</c:v>
                </c:pt>
                <c:pt idx="2">
                  <c:v>151245500</c:v>
                </c:pt>
                <c:pt idx="3">
                  <c:v>1435904300</c:v>
                </c:pt>
                <c:pt idx="4">
                  <c:v>3907391750</c:v>
                </c:pt>
                <c:pt idx="5">
                  <c:v>318738835</c:v>
                </c:pt>
                <c:pt idx="6">
                  <c:v>552250800</c:v>
                </c:pt>
                <c:pt idx="7">
                  <c:v>538626820</c:v>
                </c:pt>
                <c:pt idx="8">
                  <c:v>7184992413</c:v>
                </c:pt>
                <c:pt idx="9">
                  <c:v>14024178934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D-4C3A-A8B6-CACAA702F9C5}"/>
            </c:ext>
          </c:extLst>
        </c:ser>
        <c:ser>
          <c:idx val="2"/>
          <c:order val="2"/>
          <c:tx>
            <c:strRef>
              <c:f>'grafik juli'!$E$3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juli'!$B$4:$B$13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juli'!$E$4:$E$13</c:f>
              <c:numCache>
                <c:formatCode>_(* #,##0_);_(* \(#,##0\);_(* "-"_);_(@_)</c:formatCode>
                <c:ptCount val="10"/>
                <c:pt idx="0">
                  <c:v>607614280</c:v>
                </c:pt>
                <c:pt idx="1">
                  <c:v>14210970500</c:v>
                </c:pt>
                <c:pt idx="2">
                  <c:v>148250500</c:v>
                </c:pt>
                <c:pt idx="3">
                  <c:v>1430294299</c:v>
                </c:pt>
                <c:pt idx="4">
                  <c:v>3907343406</c:v>
                </c:pt>
                <c:pt idx="5">
                  <c:v>296990155</c:v>
                </c:pt>
                <c:pt idx="6">
                  <c:v>296990155</c:v>
                </c:pt>
                <c:pt idx="7">
                  <c:v>538616720</c:v>
                </c:pt>
                <c:pt idx="8">
                  <c:v>7167683880</c:v>
                </c:pt>
                <c:pt idx="9">
                  <c:v>14024167234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D-4C3A-A8B6-CACAA702F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252672"/>
        <c:axId val="98254208"/>
        <c:axId val="0"/>
      </c:bar3DChart>
      <c:catAx>
        <c:axId val="9825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254208"/>
        <c:crosses val="autoZero"/>
        <c:auto val="1"/>
        <c:lblAlgn val="ctr"/>
        <c:lblOffset val="100"/>
        <c:noMultiLvlLbl val="0"/>
      </c:catAx>
      <c:valAx>
        <c:axId val="98254208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8252672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AGUSTUS </a:t>
            </a:r>
            <a:r>
              <a:rPr lang="en-US"/>
              <a:t>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16738368140472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agt'!$C$3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agt'!$B$4:$B$13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agt'!$C$4:$C$13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12324425000</c:v>
                </c:pt>
                <c:pt idx="9">
                  <c:v>25693231593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A-4FAD-9195-83B76CD8F171}"/>
            </c:ext>
          </c:extLst>
        </c:ser>
        <c:ser>
          <c:idx val="1"/>
          <c:order val="1"/>
          <c:tx>
            <c:strRef>
              <c:f>'grafik agt'!$D$3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agt'!$B$4:$B$13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agt'!$D$4:$D$13</c:f>
              <c:numCache>
                <c:formatCode>_(* #,##0_);_(* \(#,##0\);_(* "-"_);_(@_)</c:formatCode>
                <c:ptCount val="10"/>
                <c:pt idx="0">
                  <c:v>752633590</c:v>
                </c:pt>
                <c:pt idx="1">
                  <c:v>15870465750</c:v>
                </c:pt>
                <c:pt idx="2">
                  <c:v>172935500</c:v>
                </c:pt>
                <c:pt idx="3">
                  <c:v>1550950500</c:v>
                </c:pt>
                <c:pt idx="4">
                  <c:v>3941878750</c:v>
                </c:pt>
                <c:pt idx="5">
                  <c:v>359940995</c:v>
                </c:pt>
                <c:pt idx="6">
                  <c:v>609710300</c:v>
                </c:pt>
                <c:pt idx="7">
                  <c:v>666849220</c:v>
                </c:pt>
                <c:pt idx="8">
                  <c:v>8343368830</c:v>
                </c:pt>
                <c:pt idx="9">
                  <c:v>15815018461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A-4FAD-9195-83B76CD8F171}"/>
            </c:ext>
          </c:extLst>
        </c:ser>
        <c:ser>
          <c:idx val="2"/>
          <c:order val="2"/>
          <c:tx>
            <c:strRef>
              <c:f>'grafik agt'!$E$3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agt'!$B$4:$B$13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agt'!$E$4:$E$13</c:f>
              <c:numCache>
                <c:formatCode>_(* #,##0_);_(* \(#,##0\);_(* "-"_);_(@_)</c:formatCode>
                <c:ptCount val="10"/>
                <c:pt idx="0">
                  <c:v>736628590</c:v>
                </c:pt>
                <c:pt idx="1">
                  <c:v>15868972950</c:v>
                </c:pt>
                <c:pt idx="2">
                  <c:v>172264500</c:v>
                </c:pt>
                <c:pt idx="3">
                  <c:v>1548934349</c:v>
                </c:pt>
                <c:pt idx="4">
                  <c:v>3932817906</c:v>
                </c:pt>
                <c:pt idx="5">
                  <c:v>338192315</c:v>
                </c:pt>
                <c:pt idx="6">
                  <c:v>338192315</c:v>
                </c:pt>
                <c:pt idx="7">
                  <c:v>666839170</c:v>
                </c:pt>
                <c:pt idx="8">
                  <c:v>8327852049</c:v>
                </c:pt>
                <c:pt idx="9">
                  <c:v>15814935661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A-4FAD-9195-83B76CD8F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770688"/>
        <c:axId val="98386304"/>
        <c:axId val="0"/>
      </c:bar3DChart>
      <c:catAx>
        <c:axId val="9677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386304"/>
        <c:crosses val="autoZero"/>
        <c:auto val="1"/>
        <c:lblAlgn val="ctr"/>
        <c:lblOffset val="100"/>
        <c:noMultiLvlLbl val="0"/>
      </c:catAx>
      <c:valAx>
        <c:axId val="98386304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6770688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REKAP SP2D/NPD DAN SPJ</a:t>
            </a:r>
          </a:p>
          <a:p>
            <a:pPr>
              <a:defRPr/>
            </a:pPr>
            <a:r>
              <a:rPr lang="en-US"/>
              <a:t>BULAN : </a:t>
            </a:r>
            <a:r>
              <a:rPr lang="id-ID"/>
              <a:t>SEPTEMBER </a:t>
            </a:r>
            <a:r>
              <a:rPr lang="en-US"/>
              <a:t>202</a:t>
            </a:r>
            <a:r>
              <a:rPr lang="id-ID"/>
              <a:t>4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16738368140472E-2"/>
          <c:y val="0.12229370078740158"/>
          <c:w val="0.90299082434635392"/>
          <c:h val="0.727601366846872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 sept'!$C$3</c:f>
              <c:strCache>
                <c:ptCount val="1"/>
                <c:pt idx="0">
                  <c:v>ANGGARAN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sept'!$B$4:$B$13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sept'!$C$4:$C$13</c:f>
              <c:numCache>
                <c:formatCode>_(* #,##0_);_(* \(#,##0\);_(* "-"_);_(@_)</c:formatCode>
                <c:ptCount val="10"/>
                <c:pt idx="0">
                  <c:v>1121402300</c:v>
                </c:pt>
                <c:pt idx="1">
                  <c:v>17972244800</c:v>
                </c:pt>
                <c:pt idx="2">
                  <c:v>659000000</c:v>
                </c:pt>
                <c:pt idx="3">
                  <c:v>2208185650</c:v>
                </c:pt>
                <c:pt idx="4">
                  <c:v>6035935000</c:v>
                </c:pt>
                <c:pt idx="5">
                  <c:v>2422510300</c:v>
                </c:pt>
                <c:pt idx="6">
                  <c:v>1117572900</c:v>
                </c:pt>
                <c:pt idx="7">
                  <c:v>1189109400</c:v>
                </c:pt>
                <c:pt idx="8">
                  <c:v>12324425000</c:v>
                </c:pt>
                <c:pt idx="9">
                  <c:v>25693231593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F-4F5C-9CBA-608FD5B4A2F6}"/>
            </c:ext>
          </c:extLst>
        </c:ser>
        <c:ser>
          <c:idx val="1"/>
          <c:order val="1"/>
          <c:tx>
            <c:strRef>
              <c:f>'grafik sept'!$D$3</c:f>
              <c:strCache>
                <c:ptCount val="1"/>
                <c:pt idx="0">
                  <c:v>SP2D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sept'!$B$4:$B$13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sept'!$D$4:$D$13</c:f>
              <c:numCache>
                <c:formatCode>_(* #,##0_);_(* \(#,##0\);_(* "-"_);_(@_)</c:formatCode>
                <c:ptCount val="10"/>
                <c:pt idx="0">
                  <c:v>789869390</c:v>
                </c:pt>
                <c:pt idx="1">
                  <c:v>16576884750</c:v>
                </c:pt>
                <c:pt idx="2">
                  <c:v>199785500</c:v>
                </c:pt>
                <c:pt idx="3">
                  <c:v>1623330500</c:v>
                </c:pt>
                <c:pt idx="4">
                  <c:v>3999732750</c:v>
                </c:pt>
                <c:pt idx="5">
                  <c:v>1011945295</c:v>
                </c:pt>
                <c:pt idx="6">
                  <c:v>708772700</c:v>
                </c:pt>
                <c:pt idx="7">
                  <c:v>727290670</c:v>
                </c:pt>
                <c:pt idx="8">
                  <c:v>8874412492</c:v>
                </c:pt>
                <c:pt idx="9">
                  <c:v>17606048337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F-4F5C-9CBA-608FD5B4A2F6}"/>
            </c:ext>
          </c:extLst>
        </c:ser>
        <c:ser>
          <c:idx val="2"/>
          <c:order val="2"/>
          <c:tx>
            <c:strRef>
              <c:f>'grafik sept'!$E$3</c:f>
              <c:strCache>
                <c:ptCount val="1"/>
                <c:pt idx="0">
                  <c:v>SPJ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'grafik sept'!$B$4:$B$13</c:f>
              <c:strCache>
                <c:ptCount val="10"/>
                <c:pt idx="0">
                  <c:v>TAPEM</c:v>
                </c:pt>
                <c:pt idx="1">
                  <c:v>KESRA</c:v>
                </c:pt>
                <c:pt idx="2">
                  <c:v>HUKUM</c:v>
                </c:pt>
                <c:pt idx="3">
                  <c:v>PEREKONOMIAN DAN SDA</c:v>
                </c:pt>
                <c:pt idx="4">
                  <c:v>PEMBANGUNAN</c:v>
                </c:pt>
                <c:pt idx="5">
                  <c:v>PBJ</c:v>
                </c:pt>
                <c:pt idx="6">
                  <c:v>PROKOMPIM</c:v>
                </c:pt>
                <c:pt idx="7">
                  <c:v>ORGANISASI</c:v>
                </c:pt>
                <c:pt idx="8">
                  <c:v>UMUM</c:v>
                </c:pt>
                <c:pt idx="9">
                  <c:v>PERENC &amp; KEU</c:v>
                </c:pt>
              </c:strCache>
            </c:strRef>
          </c:cat>
          <c:val>
            <c:numRef>
              <c:f>'grafik sept'!$E$4:$E$13</c:f>
              <c:numCache>
                <c:formatCode>_(* #,##0_);_(* \(#,##0\);_(* "-"_);_(@_)</c:formatCode>
                <c:ptCount val="10"/>
                <c:pt idx="0">
                  <c:v>751476190</c:v>
                </c:pt>
                <c:pt idx="1">
                  <c:v>16507948950</c:v>
                </c:pt>
                <c:pt idx="2">
                  <c:v>199100700</c:v>
                </c:pt>
                <c:pt idx="3">
                  <c:v>1571314349</c:v>
                </c:pt>
                <c:pt idx="4">
                  <c:v>3994879706</c:v>
                </c:pt>
                <c:pt idx="5">
                  <c:v>1010366615</c:v>
                </c:pt>
                <c:pt idx="6">
                  <c:v>1010366615</c:v>
                </c:pt>
                <c:pt idx="7">
                  <c:v>681539170</c:v>
                </c:pt>
                <c:pt idx="8">
                  <c:v>8858895711</c:v>
                </c:pt>
                <c:pt idx="9">
                  <c:v>17599706637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9F-4F5C-9CBA-608FD5B4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731904"/>
        <c:axId val="96733440"/>
        <c:axId val="0"/>
      </c:bar3DChart>
      <c:catAx>
        <c:axId val="9673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6733440"/>
        <c:crosses val="autoZero"/>
        <c:auto val="1"/>
        <c:lblAlgn val="ctr"/>
        <c:lblOffset val="100"/>
        <c:noMultiLvlLbl val="0"/>
      </c:catAx>
      <c:valAx>
        <c:axId val="96733440"/>
        <c:scaling>
          <c:orientation val="minMax"/>
          <c:max val="3000000000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6731904"/>
        <c:crosses val="autoZero"/>
        <c:crossBetween val="between"/>
        <c:minorUnit val="2000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25" header="0.3" footer="0.3"/>
    <c:pageSetup paperSize="10000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249464</xdr:colOff>
      <xdr:row>32</xdr:row>
      <xdr:rowOff>181429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249464</xdr:colOff>
      <xdr:row>32</xdr:row>
      <xdr:rowOff>181429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45357</xdr:rowOff>
    </xdr:from>
    <xdr:to>
      <xdr:col>16</xdr:col>
      <xdr:colOff>249464</xdr:colOff>
      <xdr:row>33</xdr:row>
      <xdr:rowOff>34018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56694</xdr:rowOff>
    </xdr:from>
    <xdr:to>
      <xdr:col>16</xdr:col>
      <xdr:colOff>249464</xdr:colOff>
      <xdr:row>33</xdr:row>
      <xdr:rowOff>45355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113391</xdr:rowOff>
    </xdr:from>
    <xdr:to>
      <xdr:col>16</xdr:col>
      <xdr:colOff>249464</xdr:colOff>
      <xdr:row>33</xdr:row>
      <xdr:rowOff>102052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181425</xdr:rowOff>
    </xdr:from>
    <xdr:to>
      <xdr:col>16</xdr:col>
      <xdr:colOff>249464</xdr:colOff>
      <xdr:row>33</xdr:row>
      <xdr:rowOff>170086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11339</xdr:rowOff>
    </xdr:from>
    <xdr:to>
      <xdr:col>16</xdr:col>
      <xdr:colOff>249464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79374</xdr:rowOff>
    </xdr:from>
    <xdr:to>
      <xdr:col>16</xdr:col>
      <xdr:colOff>249464</xdr:colOff>
      <xdr:row>33</xdr:row>
      <xdr:rowOff>68035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181429</xdr:rowOff>
    </xdr:from>
    <xdr:to>
      <xdr:col>16</xdr:col>
      <xdr:colOff>249464</xdr:colOff>
      <xdr:row>33</xdr:row>
      <xdr:rowOff>170090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ev%202013\Monev%20APRIL%20-%20Desember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B"/>
      <sheetName val="RekaP"/>
      <sheetName val="Rekap_MEI"/>
      <sheetName val="Mei"/>
      <sheetName val="Juni"/>
      <sheetName val="rek_Juni"/>
      <sheetName val="Juli"/>
      <sheetName val="rek juli"/>
      <sheetName val="Agustus"/>
      <sheetName val="Rek_agt"/>
      <sheetName val="September"/>
      <sheetName val="rekap_sep"/>
      <sheetName val="oKTOBER"/>
      <sheetName val="REKAP okt"/>
      <sheetName val="NOPEMBER"/>
      <sheetName val="REKAP NOPEMBER"/>
      <sheetName val="Desember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56">
          <cell r="E1056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91"/>
  <sheetViews>
    <sheetView view="pageBreakPreview" topLeftCell="A247" zoomScale="110" zoomScaleSheetLayoutView="110" workbookViewId="0">
      <selection activeCell="C253" sqref="C253"/>
    </sheetView>
  </sheetViews>
  <sheetFormatPr defaultRowHeight="14.25" x14ac:dyDescent="0.2"/>
  <cols>
    <col min="1" max="1" width="4.42578125" style="88" customWidth="1"/>
    <col min="2" max="2" width="15.5703125" style="68" customWidth="1"/>
    <col min="3" max="3" width="47.7109375" style="68" customWidth="1"/>
    <col min="4" max="4" width="15.85546875" style="5" customWidth="1"/>
    <col min="5" max="5" width="18.140625" style="5" hidden="1" customWidth="1"/>
    <col min="6" max="6" width="16.7109375" style="5" hidden="1" customWidth="1"/>
    <col min="7" max="7" width="13" style="68" customWidth="1"/>
    <col min="8" max="8" width="13.28515625" style="71" customWidth="1"/>
    <col min="9" max="9" width="13.5703125" style="68" customWidth="1"/>
    <col min="10" max="10" width="7.42578125" style="68" customWidth="1"/>
    <col min="11" max="11" width="13.7109375" style="68" customWidth="1"/>
    <col min="12" max="13" width="13.85546875" style="68" customWidth="1"/>
    <col min="14" max="14" width="7.7109375" style="68" customWidth="1"/>
    <col min="15" max="15" width="15.14062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7.140625" style="68" customWidth="1"/>
    <col min="20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144" t="s">
        <v>13</v>
      </c>
      <c r="H7" s="145" t="s">
        <v>14</v>
      </c>
      <c r="I7" s="144" t="s">
        <v>15</v>
      </c>
      <c r="J7" s="144" t="s">
        <v>16</v>
      </c>
      <c r="K7" s="144" t="s">
        <v>13</v>
      </c>
      <c r="L7" s="144" t="s">
        <v>14</v>
      </c>
      <c r="M7" s="144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F12" si="0">+E14+E24</f>
        <v>0</v>
      </c>
      <c r="F12" s="10">
        <f t="shared" si="0"/>
        <v>1121402300</v>
      </c>
      <c r="G12" s="10">
        <f t="shared" ref="G12:H12" si="1">+G14+G24</f>
        <v>0</v>
      </c>
      <c r="H12" s="10">
        <f t="shared" si="1"/>
        <v>0</v>
      </c>
      <c r="I12" s="10">
        <f>+G12+H12</f>
        <v>0</v>
      </c>
      <c r="J12" s="168">
        <f>+I12/F12</f>
        <v>0</v>
      </c>
      <c r="K12" s="10">
        <f t="shared" ref="K12:L12" si="2">+K14+K24</f>
        <v>0</v>
      </c>
      <c r="L12" s="10">
        <f t="shared" si="2"/>
        <v>0</v>
      </c>
      <c r="M12" s="180">
        <f>+K12+L12</f>
        <v>0</v>
      </c>
      <c r="N12" s="169">
        <f>+M12/F12</f>
        <v>0</v>
      </c>
      <c r="O12" s="10">
        <f>+F12-M12</f>
        <v>1121402300</v>
      </c>
      <c r="P12" s="77"/>
      <c r="Q12" s="6" t="str">
        <f t="shared" ref="Q12" si="3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0</v>
      </c>
      <c r="H14" s="178">
        <f>+H16+H20+H18</f>
        <v>0</v>
      </c>
      <c r="I14" s="10">
        <f>+G14+H14</f>
        <v>0</v>
      </c>
      <c r="J14" s="168">
        <f>+I14/F14</f>
        <v>0</v>
      </c>
      <c r="K14" s="178">
        <f>+K16+K20+K18</f>
        <v>0</v>
      </c>
      <c r="L14" s="178">
        <f>+L16+L20+L18</f>
        <v>0</v>
      </c>
      <c r="M14" s="180">
        <f>+K14+L14</f>
        <v>0</v>
      </c>
      <c r="N14" s="169">
        <f>+M14/F14</f>
        <v>0</v>
      </c>
      <c r="O14" s="10">
        <f>+F14-M14</f>
        <v>923587300</v>
      </c>
      <c r="Q14" s="6" t="str">
        <f t="shared" ref="Q14:Q20" si="4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/>
      <c r="H16" s="79">
        <v>0</v>
      </c>
      <c r="I16" s="15">
        <f>+G16+H16</f>
        <v>0</v>
      </c>
      <c r="J16" s="143">
        <f>+I16/F16</f>
        <v>0</v>
      </c>
      <c r="K16" s="80">
        <v>0</v>
      </c>
      <c r="L16" s="80">
        <v>0</v>
      </c>
      <c r="M16" s="80">
        <f>+K16+L16</f>
        <v>0</v>
      </c>
      <c r="N16" s="171">
        <f>+M16/F16</f>
        <v>0</v>
      </c>
      <c r="O16" s="15">
        <f>+F16-M16</f>
        <v>410359700</v>
      </c>
      <c r="Q16" s="6" t="str">
        <f t="shared" ref="Q16" si="5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/>
      <c r="H18" s="79">
        <v>0</v>
      </c>
      <c r="I18" s="15">
        <f>+G18+H18</f>
        <v>0</v>
      </c>
      <c r="J18" s="143">
        <f>+I18/F18</f>
        <v>0</v>
      </c>
      <c r="K18" s="80">
        <v>0</v>
      </c>
      <c r="L18" s="80">
        <v>0</v>
      </c>
      <c r="M18" s="80">
        <f>+K18+L18</f>
        <v>0</v>
      </c>
      <c r="N18" s="171">
        <f>+M18/F18</f>
        <v>0</v>
      </c>
      <c r="O18" s="15">
        <f>+F18-M18</f>
        <v>428227600</v>
      </c>
      <c r="Q18" s="6" t="str">
        <f t="shared" ref="Q18" si="6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/>
      <c r="H20" s="79">
        <v>0</v>
      </c>
      <c r="I20" s="15">
        <f>+G20+H20</f>
        <v>0</v>
      </c>
      <c r="J20" s="143">
        <f>+I20/F20</f>
        <v>0</v>
      </c>
      <c r="K20" s="80">
        <v>0</v>
      </c>
      <c r="L20" s="80">
        <v>0</v>
      </c>
      <c r="M20" s="80">
        <f>+K20+L20</f>
        <v>0</v>
      </c>
      <c r="N20" s="171">
        <f>+M20/F20</f>
        <v>0</v>
      </c>
      <c r="O20" s="15">
        <f>+F20-M20</f>
        <v>85000000</v>
      </c>
      <c r="Q20" s="6" t="str">
        <f t="shared" si="4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7">+G16+G20+G18</f>
        <v>0</v>
      </c>
      <c r="H22" s="224">
        <f>+H16+H20+H18</f>
        <v>0</v>
      </c>
      <c r="I22" s="141">
        <f>+G22+H22</f>
        <v>0</v>
      </c>
      <c r="J22" s="233">
        <f>+I22/F22</f>
        <v>0</v>
      </c>
      <c r="K22" s="224">
        <f t="shared" ref="K22" si="8">+K16+K20+K18</f>
        <v>0</v>
      </c>
      <c r="L22" s="224">
        <f t="shared" ref="L22" si="9">+L16+L20+L18</f>
        <v>0</v>
      </c>
      <c r="M22" s="232">
        <f>+K22+L22</f>
        <v>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10">+G26</f>
        <v>0</v>
      </c>
      <c r="H24" s="178">
        <f>+H26</f>
        <v>0</v>
      </c>
      <c r="I24" s="10">
        <f>+G24+H24</f>
        <v>0</v>
      </c>
      <c r="J24" s="168">
        <f>+I24/F24</f>
        <v>0</v>
      </c>
      <c r="K24" s="178">
        <f>+K26</f>
        <v>0</v>
      </c>
      <c r="L24" s="178">
        <f t="shared" ref="L24:M24" si="11">+L26</f>
        <v>0</v>
      </c>
      <c r="M24" s="178">
        <f t="shared" si="11"/>
        <v>0</v>
      </c>
      <c r="N24" s="169">
        <f>+M24/F24</f>
        <v>0</v>
      </c>
      <c r="O24" s="10">
        <f t="shared" ref="O24" si="12">+D24-M24</f>
        <v>197815000</v>
      </c>
      <c r="Q24" s="6"/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/>
      <c r="H26" s="79">
        <v>0</v>
      </c>
      <c r="I26" s="15">
        <f>+G26+H26</f>
        <v>0</v>
      </c>
      <c r="J26" s="143">
        <f>+I26/F26</f>
        <v>0</v>
      </c>
      <c r="K26" s="80">
        <v>0</v>
      </c>
      <c r="L26" s="80">
        <v>0</v>
      </c>
      <c r="M26" s="80">
        <f>+K26+L26</f>
        <v>0</v>
      </c>
      <c r="N26" s="171">
        <f>+M26/F26</f>
        <v>0</v>
      </c>
      <c r="O26" s="15">
        <f>+F26-M26</f>
        <v>197815000</v>
      </c>
      <c r="Q26" s="6"/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4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0</v>
      </c>
      <c r="H28" s="224">
        <f t="shared" si="14"/>
        <v>0</v>
      </c>
      <c r="I28" s="232">
        <f>+G28+H28</f>
        <v>0</v>
      </c>
      <c r="J28" s="233">
        <f>+I28/F28</f>
        <v>0</v>
      </c>
      <c r="K28" s="224">
        <f t="shared" ref="K28:L28" si="15">+K26</f>
        <v>0</v>
      </c>
      <c r="L28" s="224">
        <f t="shared" si="15"/>
        <v>0</v>
      </c>
      <c r="M28" s="232">
        <f>+K28+L28</f>
        <v>0</v>
      </c>
      <c r="N28" s="173">
        <f>+M28/F28</f>
        <v>0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0</v>
      </c>
      <c r="H30" s="364">
        <f t="shared" si="16"/>
        <v>0</v>
      </c>
      <c r="I30" s="364">
        <f>+G30+H30</f>
        <v>0</v>
      </c>
      <c r="J30" s="368">
        <f>+I30/F30</f>
        <v>0</v>
      </c>
      <c r="K30" s="364">
        <f t="shared" ref="K30:L30" si="17">K12</f>
        <v>0</v>
      </c>
      <c r="L30" s="364">
        <f t="shared" si="17"/>
        <v>0</v>
      </c>
      <c r="M30" s="364">
        <f>+K30+L30</f>
        <v>0</v>
      </c>
      <c r="N30" s="366">
        <f>+M30/F30</f>
        <v>0</v>
      </c>
      <c r="O30" s="364">
        <f>+F30-M30</f>
        <v>1121402300</v>
      </c>
      <c r="P30" s="77"/>
      <c r="Q30" s="6" t="str">
        <f t="shared" ref="Q30:Q31" si="18">IF(M30&lt;=I30,"OKE","Salah")</f>
        <v>OKE</v>
      </c>
      <c r="R30" s="6"/>
    </row>
    <row r="31" spans="1:19" ht="13.5" customHeight="1" x14ac:dyDescent="0.2">
      <c r="A31" s="389"/>
      <c r="B31" s="391"/>
      <c r="C31" s="393"/>
      <c r="D31" s="365"/>
      <c r="E31" s="365"/>
      <c r="F31" s="365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" si="19">G45</f>
        <v>0</v>
      </c>
      <c r="H35" s="11">
        <f t="shared" ref="H35" si="20">H45</f>
        <v>0</v>
      </c>
      <c r="I35" s="10">
        <f>+G35+H35</f>
        <v>0</v>
      </c>
      <c r="J35" s="168">
        <f>+I35/F35</f>
        <v>0</v>
      </c>
      <c r="K35" s="10">
        <f t="shared" ref="K35:L35" si="21">K45</f>
        <v>0</v>
      </c>
      <c r="L35" s="10">
        <f t="shared" si="21"/>
        <v>0</v>
      </c>
      <c r="M35" s="10">
        <f>+K35+L35</f>
        <v>0</v>
      </c>
      <c r="N35" s="169">
        <f>+M35/F35</f>
        <v>0</v>
      </c>
      <c r="O35" s="10">
        <f>+F35-M35</f>
        <v>659000000</v>
      </c>
      <c r="P35" s="77"/>
      <c r="Q35" s="6" t="str">
        <f t="shared" ref="Q35:Q60" si="22">IF(M35&lt;=I35,"OKE","Salah")</f>
        <v>OKE</v>
      </c>
      <c r="R35" s="6"/>
    </row>
    <row r="36" spans="1:19" ht="13.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221">
        <f>+D37+E37</f>
        <v>659000000</v>
      </c>
      <c r="G37" s="194"/>
      <c r="H37" s="187"/>
      <c r="I37" s="180">
        <f>+G37+H37</f>
        <v>0</v>
      </c>
      <c r="J37" s="168">
        <f>+I37/F37</f>
        <v>0</v>
      </c>
      <c r="K37" s="194"/>
      <c r="L37" s="180"/>
      <c r="M37" s="180">
        <f>+K37+L37</f>
        <v>0</v>
      </c>
      <c r="N37" s="169">
        <f>+M37/F37</f>
        <v>0</v>
      </c>
      <c r="O37" s="10">
        <f>+F37-M37</f>
        <v>659000000</v>
      </c>
      <c r="Q37" s="6" t="str">
        <f t="shared" si="22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4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4">
        <f>+D39+E39</f>
        <v>160000000</v>
      </c>
      <c r="G39" s="78"/>
      <c r="H39" s="79"/>
      <c r="I39" s="80">
        <f>+G39+H39</f>
        <v>0</v>
      </c>
      <c r="J39" s="143">
        <f>+I39/F39</f>
        <v>0</v>
      </c>
      <c r="K39" s="78"/>
      <c r="L39" s="80"/>
      <c r="M39" s="80">
        <f>+K39+L39</f>
        <v>0</v>
      </c>
      <c r="N39" s="171">
        <f>+M39/F39</f>
        <v>0</v>
      </c>
      <c r="O39" s="15">
        <f>+F39-M39</f>
        <v>160000000</v>
      </c>
      <c r="Q39" s="6" t="str">
        <f t="shared" si="22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4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4">
        <f>+D41+E41</f>
        <v>319000000</v>
      </c>
      <c r="G41" s="78"/>
      <c r="H41" s="30"/>
      <c r="I41" s="80">
        <f>+G41+H41</f>
        <v>0</v>
      </c>
      <c r="J41" s="143">
        <f>+I41/F41</f>
        <v>0</v>
      </c>
      <c r="K41" s="78"/>
      <c r="L41" s="15"/>
      <c r="M41" s="80">
        <f>+K41+L41</f>
        <v>0</v>
      </c>
      <c r="N41" s="171">
        <f>+M41/F41</f>
        <v>0</v>
      </c>
      <c r="O41" s="15">
        <f>+F41-M41</f>
        <v>319000000</v>
      </c>
      <c r="Q41" s="6" t="str">
        <f t="shared" ref="Q41:Q43" si="23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4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13">
        <v>180000000</v>
      </c>
      <c r="E43" s="14"/>
      <c r="F43" s="14">
        <f>+D43+E43</f>
        <v>180000000</v>
      </c>
      <c r="G43" s="78"/>
      <c r="H43" s="79"/>
      <c r="I43" s="80">
        <f>+G43+H43</f>
        <v>0</v>
      </c>
      <c r="J43" s="143">
        <f>+I43/F43</f>
        <v>0</v>
      </c>
      <c r="K43" s="78"/>
      <c r="L43" s="80"/>
      <c r="M43" s="80">
        <f>+K43+L43</f>
        <v>0</v>
      </c>
      <c r="N43" s="171">
        <f>+M43/F43</f>
        <v>0</v>
      </c>
      <c r="O43" s="15">
        <f>+F43-M43</f>
        <v>180000000</v>
      </c>
      <c r="Q43" s="6" t="str">
        <f t="shared" si="23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0</v>
      </c>
      <c r="H45" s="10">
        <f>SUM(H39:H43)</f>
        <v>0</v>
      </c>
      <c r="I45" s="10">
        <f>+G45+H45</f>
        <v>0</v>
      </c>
      <c r="J45" s="168">
        <f>+I45/F45</f>
        <v>0</v>
      </c>
      <c r="K45" s="10">
        <f>SUM(K39:K43)</f>
        <v>0</v>
      </c>
      <c r="L45" s="10">
        <f>SUM(L39:L43)</f>
        <v>0</v>
      </c>
      <c r="M45" s="10">
        <f>+K45+L45</f>
        <v>0</v>
      </c>
      <c r="N45" s="169">
        <f>+M45/F45</f>
        <v>0</v>
      </c>
      <c r="O45" s="10">
        <f>+D45-M45</f>
        <v>659000000</v>
      </c>
      <c r="P45" s="77"/>
      <c r="Q45" s="6" t="str">
        <f t="shared" si="22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4">G45</f>
        <v>0</v>
      </c>
      <c r="H47" s="387">
        <f t="shared" si="24"/>
        <v>0</v>
      </c>
      <c r="I47" s="387">
        <f>+G47+H47</f>
        <v>0</v>
      </c>
      <c r="J47" s="397">
        <f>+I47/F47</f>
        <v>0</v>
      </c>
      <c r="K47" s="387">
        <f t="shared" ref="K47:L47" si="25">K45</f>
        <v>0</v>
      </c>
      <c r="L47" s="387">
        <f t="shared" si="25"/>
        <v>0</v>
      </c>
      <c r="M47" s="387">
        <f t="shared" ref="M47" si="26">M45</f>
        <v>0</v>
      </c>
      <c r="N47" s="394">
        <f>+M47/F47</f>
        <v>0</v>
      </c>
      <c r="O47" s="387">
        <f>+F47-M47</f>
        <v>659000000</v>
      </c>
      <c r="P47" s="76"/>
      <c r="Q47" s="6" t="str">
        <f t="shared" si="22"/>
        <v>OKE</v>
      </c>
      <c r="R47" s="6"/>
    </row>
    <row r="48" spans="1:19" s="70" customFormat="1" ht="12.7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2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2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7">+E62</f>
        <v>0</v>
      </c>
      <c r="F52" s="10">
        <f>+D52+E52</f>
        <v>17972244800</v>
      </c>
      <c r="G52" s="10">
        <f t="shared" ref="G52:H52" si="28">+G62</f>
        <v>0</v>
      </c>
      <c r="H52" s="10">
        <f t="shared" si="28"/>
        <v>0</v>
      </c>
      <c r="I52" s="10">
        <f>+G52+H52</f>
        <v>0</v>
      </c>
      <c r="J52" s="168">
        <f>+I52/F52</f>
        <v>0</v>
      </c>
      <c r="K52" s="10">
        <f t="shared" ref="K52:L52" si="29">+K62</f>
        <v>0</v>
      </c>
      <c r="L52" s="10">
        <f t="shared" si="29"/>
        <v>0</v>
      </c>
      <c r="M52" s="10">
        <f>+K52+L52</f>
        <v>0</v>
      </c>
      <c r="N52" s="169">
        <f>+M52/F52</f>
        <v>0</v>
      </c>
      <c r="O52" s="10">
        <f>+F52-M52</f>
        <v>17972244800</v>
      </c>
      <c r="P52" s="77"/>
      <c r="Q52" s="6" t="str">
        <f t="shared" si="22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80"/>
      <c r="H53" s="79"/>
      <c r="I53" s="80"/>
      <c r="J53" s="86"/>
      <c r="K53" s="80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221">
        <f>+D54+E54</f>
        <v>17972244800</v>
      </c>
      <c r="G54" s="178">
        <f t="shared" ref="G54:H54" si="30">SUM(G56:G60)</f>
        <v>0</v>
      </c>
      <c r="H54" s="178">
        <f t="shared" si="30"/>
        <v>0</v>
      </c>
      <c r="I54" s="10">
        <f>+G54+H54</f>
        <v>0</v>
      </c>
      <c r="J54" s="168">
        <f>+I54/F54</f>
        <v>0</v>
      </c>
      <c r="K54" s="178">
        <f>SUM(K56:K60)</f>
        <v>0</v>
      </c>
      <c r="L54" s="180"/>
      <c r="M54" s="180">
        <f>+K54+L54</f>
        <v>0</v>
      </c>
      <c r="N54" s="169">
        <f>+M54/F54</f>
        <v>0</v>
      </c>
      <c r="O54" s="10">
        <f>+F54-M54</f>
        <v>17972244800</v>
      </c>
      <c r="P54" s="77"/>
      <c r="Q54" s="6" t="str">
        <f t="shared" si="22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4"/>
      <c r="G55" s="78"/>
      <c r="H55" s="79"/>
      <c r="I55" s="15"/>
      <c r="J55" s="143"/>
      <c r="K55" s="7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4">
        <f>+D56+E56</f>
        <v>14135421500</v>
      </c>
      <c r="G56" s="78"/>
      <c r="H56" s="79"/>
      <c r="I56" s="15"/>
      <c r="J56" s="143">
        <f>+I56/F56</f>
        <v>0</v>
      </c>
      <c r="K56" s="78"/>
      <c r="L56" s="80"/>
      <c r="M56" s="80"/>
      <c r="N56" s="171">
        <f>+M56/F56</f>
        <v>0</v>
      </c>
      <c r="O56" s="15">
        <f>+F56-M56</f>
        <v>14135421500</v>
      </c>
      <c r="P56" s="77"/>
      <c r="Q56" s="6" t="str">
        <f t="shared" ref="Q56" si="31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4"/>
      <c r="G57" s="78"/>
      <c r="H57" s="79"/>
      <c r="I57" s="15"/>
      <c r="J57" s="143"/>
      <c r="K57" s="7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4">
        <f>+D58+E58</f>
        <v>2832643300</v>
      </c>
      <c r="G58" s="78"/>
      <c r="H58" s="79"/>
      <c r="I58" s="15"/>
      <c r="J58" s="143">
        <f>+I58/F58</f>
        <v>0</v>
      </c>
      <c r="K58" s="78"/>
      <c r="L58" s="80"/>
      <c r="M58" s="80"/>
      <c r="N58" s="171">
        <f>+M58/F58</f>
        <v>0</v>
      </c>
      <c r="O58" s="15">
        <f>+F58-M58</f>
        <v>2832643300</v>
      </c>
      <c r="P58" s="77"/>
      <c r="Q58" s="6" t="str">
        <f t="shared" ref="Q58" si="32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4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4">
        <f>+D60+E60</f>
        <v>1004180000</v>
      </c>
      <c r="G60" s="78"/>
      <c r="H60" s="79"/>
      <c r="I60" s="15">
        <f>+G60+H60</f>
        <v>0</v>
      </c>
      <c r="J60" s="143">
        <f>+I60/F60</f>
        <v>0</v>
      </c>
      <c r="K60" s="78"/>
      <c r="L60" s="80"/>
      <c r="M60" s="80">
        <f>+K60+L60</f>
        <v>0</v>
      </c>
      <c r="N60" s="171">
        <f>+M60/F60</f>
        <v>0</v>
      </c>
      <c r="O60" s="15">
        <f>+F60-M60</f>
        <v>1004180000</v>
      </c>
      <c r="P60" s="77"/>
      <c r="Q60" s="6" t="str">
        <f t="shared" si="22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3">SUM(E56:E60)</f>
        <v>0</v>
      </c>
      <c r="F62" s="364">
        <f>+D62+E62</f>
        <v>17972244800</v>
      </c>
      <c r="G62" s="364">
        <f>SUM(G56:G60)</f>
        <v>0</v>
      </c>
      <c r="H62" s="364">
        <f>SUM(H56:H60)</f>
        <v>0</v>
      </c>
      <c r="I62" s="364">
        <f>H62+G62</f>
        <v>0</v>
      </c>
      <c r="J62" s="368">
        <f>+I62/F62</f>
        <v>0</v>
      </c>
      <c r="K62" s="364">
        <f>SUM(K56:K60)</f>
        <v>0</v>
      </c>
      <c r="L62" s="364">
        <f>SUM(L56:L60)</f>
        <v>0</v>
      </c>
      <c r="M62" s="364">
        <f>K62+L62</f>
        <v>0</v>
      </c>
      <c r="N62" s="366">
        <f>+M62/F62</f>
        <v>0</v>
      </c>
      <c r="O62" s="364">
        <f>+F62-M62</f>
        <v>17972244800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365"/>
      <c r="H63" s="365"/>
      <c r="I63" s="365"/>
      <c r="J63" s="369"/>
      <c r="K63" s="365"/>
      <c r="L63" s="365"/>
      <c r="M63" s="365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7.100000000000001" customHeight="1" x14ac:dyDescent="0.2">
      <c r="A67" s="74"/>
      <c r="B67" s="217" t="s">
        <v>158</v>
      </c>
      <c r="C67" s="33" t="s">
        <v>245</v>
      </c>
      <c r="D67" s="239">
        <f>+D69</f>
        <v>6035935000</v>
      </c>
      <c r="E67" s="239">
        <f t="shared" ref="E67" si="34">+E77</f>
        <v>0</v>
      </c>
      <c r="F67" s="239">
        <f>+D67+E67</f>
        <v>6035935000</v>
      </c>
      <c r="G67" s="239">
        <f t="shared" ref="G67" si="35">+G77</f>
        <v>0</v>
      </c>
      <c r="H67" s="239">
        <f>+H77</f>
        <v>0</v>
      </c>
      <c r="I67" s="10">
        <f>+G67+H67</f>
        <v>0</v>
      </c>
      <c r="J67" s="168">
        <f>+I67/F67</f>
        <v>0</v>
      </c>
      <c r="K67" s="180">
        <f>+K77</f>
        <v>0</v>
      </c>
      <c r="L67" s="180">
        <f>+L77</f>
        <v>0</v>
      </c>
      <c r="M67" s="180">
        <f>+K67+L67</f>
        <v>0</v>
      </c>
      <c r="N67" s="169">
        <f>+M67/F67</f>
        <v>0</v>
      </c>
      <c r="O67" s="10">
        <f>+F67-M67</f>
        <v>6035935000</v>
      </c>
      <c r="P67" s="77"/>
      <c r="Q67" s="6" t="str">
        <f t="shared" ref="Q67" si="36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180"/>
      <c r="H69" s="187"/>
      <c r="I69" s="180">
        <f>+G69+H69</f>
        <v>0</v>
      </c>
      <c r="J69" s="168">
        <f>+I69/F69</f>
        <v>0</v>
      </c>
      <c r="K69" s="193"/>
      <c r="L69" s="180"/>
      <c r="M69" s="180">
        <f>+K69+L69</f>
        <v>0</v>
      </c>
      <c r="N69" s="169">
        <f>+M69/F69</f>
        <v>0</v>
      </c>
      <c r="O69" s="10">
        <f>+F69-M69</f>
        <v>6035935000</v>
      </c>
      <c r="P69" s="192"/>
      <c r="Q69" s="6" t="str">
        <f t="shared" ref="Q69:Q71" si="37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4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4">
        <f>+D71+E71</f>
        <v>373700000</v>
      </c>
      <c r="G71" s="80"/>
      <c r="H71" s="79">
        <v>0</v>
      </c>
      <c r="I71" s="80">
        <f>+G71+H71</f>
        <v>0</v>
      </c>
      <c r="J71" s="143">
        <f>+I71/F71</f>
        <v>0</v>
      </c>
      <c r="K71" s="76"/>
      <c r="L71" s="80">
        <v>0</v>
      </c>
      <c r="M71" s="80">
        <f>+K71+L71</f>
        <v>0</v>
      </c>
      <c r="N71" s="171">
        <f>+M71/F71</f>
        <v>0</v>
      </c>
      <c r="O71" s="15">
        <f>+F71-M71</f>
        <v>373700000</v>
      </c>
      <c r="P71" s="77"/>
      <c r="Q71" s="6" t="str">
        <f t="shared" si="37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/>
      <c r="H73" s="79">
        <v>0</v>
      </c>
      <c r="I73" s="80">
        <f>+G73+H73</f>
        <v>0</v>
      </c>
      <c r="J73" s="143">
        <f>+I73/F73</f>
        <v>0</v>
      </c>
      <c r="K73" s="76"/>
      <c r="L73" s="80">
        <v>0</v>
      </c>
      <c r="M73" s="80">
        <f>+K73+L73</f>
        <v>0</v>
      </c>
      <c r="N73" s="171">
        <f>+M73/F73</f>
        <v>0</v>
      </c>
      <c r="O73" s="15">
        <f>+F73-M73</f>
        <v>171360400</v>
      </c>
      <c r="P73" s="77"/>
      <c r="Q73" s="6" t="str">
        <f t="shared" ref="Q73" si="38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80"/>
      <c r="H75" s="79">
        <v>0</v>
      </c>
      <c r="I75" s="80">
        <f>+G75+H75</f>
        <v>0</v>
      </c>
      <c r="J75" s="143">
        <f>+I75/F75</f>
        <v>0</v>
      </c>
      <c r="K75" s="76"/>
      <c r="L75" s="80"/>
      <c r="M75" s="80">
        <f>+K75+L75</f>
        <v>0</v>
      </c>
      <c r="N75" s="171">
        <f>+M75/F75</f>
        <v>0</v>
      </c>
      <c r="O75" s="15">
        <f>+F75-M75</f>
        <v>5490874600</v>
      </c>
      <c r="P75" s="77"/>
      <c r="Q75" s="6" t="str">
        <f t="shared" ref="Q75" si="39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40">SUM(E71:E75)</f>
        <v>0</v>
      </c>
      <c r="F77" s="364">
        <f>+D77+E77</f>
        <v>6035935000</v>
      </c>
      <c r="G77" s="364">
        <f>SUM(G71:G75)</f>
        <v>0</v>
      </c>
      <c r="H77" s="364">
        <f>SUM(H71:H75)</f>
        <v>0</v>
      </c>
      <c r="I77" s="364">
        <f>+G77+H77</f>
        <v>0</v>
      </c>
      <c r="J77" s="368">
        <f>+I77/F77</f>
        <v>0</v>
      </c>
      <c r="K77" s="364">
        <f>SUM(K71:K75)</f>
        <v>0</v>
      </c>
      <c r="L77" s="364">
        <f>SUM(L71:L75)</f>
        <v>0</v>
      </c>
      <c r="M77" s="364">
        <f>+K77+L77</f>
        <v>0</v>
      </c>
      <c r="N77" s="366">
        <f>+M77/F77</f>
        <v>0</v>
      </c>
      <c r="O77" s="364">
        <f>+F77-M77</f>
        <v>6035935000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396"/>
      <c r="G78" s="396"/>
      <c r="H78" s="396"/>
      <c r="I78" s="396"/>
      <c r="J78" s="369"/>
      <c r="K78" s="39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9.5" customHeight="1" x14ac:dyDescent="0.2">
      <c r="A80" s="74"/>
      <c r="B80" s="76"/>
      <c r="C80" s="244" t="s">
        <v>67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41">+E98</f>
        <v>0</v>
      </c>
      <c r="F82" s="10">
        <f>+D82+E82</f>
        <v>2244824800</v>
      </c>
      <c r="G82" s="10">
        <f t="shared" ref="G82:H82" si="42">+G83+G93</f>
        <v>0</v>
      </c>
      <c r="H82" s="10">
        <f t="shared" si="42"/>
        <v>0</v>
      </c>
      <c r="I82" s="10">
        <f>+G82+H82</f>
        <v>0</v>
      </c>
      <c r="J82" s="168">
        <f>+I82/F82</f>
        <v>0</v>
      </c>
      <c r="K82" s="10">
        <f t="shared" ref="K82:L82" si="43">+K83+K93</f>
        <v>0</v>
      </c>
      <c r="L82" s="10">
        <f t="shared" si="43"/>
        <v>0</v>
      </c>
      <c r="M82" s="10">
        <f>+K82+L82</f>
        <v>0</v>
      </c>
      <c r="N82" s="169">
        <f>+M82/F82</f>
        <v>0</v>
      </c>
      <c r="O82" s="10">
        <f>+F82-M82</f>
        <v>2244824800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 t="shared" ref="G83:H83" si="44">+G85+G89</f>
        <v>0</v>
      </c>
      <c r="H83" s="10">
        <f t="shared" si="44"/>
        <v>0</v>
      </c>
      <c r="I83" s="180">
        <f>+G83+H83</f>
        <v>0</v>
      </c>
      <c r="J83" s="168">
        <f>+I83/F83</f>
        <v>0</v>
      </c>
      <c r="K83" s="10">
        <f>+K85+K89</f>
        <v>0</v>
      </c>
      <c r="L83" s="10">
        <f>+L85+L89</f>
        <v>0</v>
      </c>
      <c r="M83" s="180">
        <f>+K83+L83</f>
        <v>0</v>
      </c>
      <c r="N83" s="169">
        <f>+M83/F83</f>
        <v>0</v>
      </c>
      <c r="O83" s="10">
        <f>+F83-M83</f>
        <v>1878882000</v>
      </c>
      <c r="Q83" s="6" t="str">
        <f t="shared" ref="Q83:Q93" si="45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7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299"/>
      <c r="H85" s="285">
        <v>0</v>
      </c>
      <c r="I85" s="284">
        <f>G85+H85</f>
        <v>0</v>
      </c>
      <c r="J85" s="287">
        <f>+I85/F85</f>
        <v>0</v>
      </c>
      <c r="K85" s="300"/>
      <c r="L85" s="284">
        <v>0</v>
      </c>
      <c r="M85" s="284">
        <f>K85+L85</f>
        <v>0</v>
      </c>
      <c r="N85" s="288">
        <f>+M85/F85</f>
        <v>0</v>
      </c>
      <c r="O85" s="286">
        <f>+F85-M85</f>
        <v>274791900</v>
      </c>
      <c r="P85" s="290"/>
      <c r="Q85" s="291" t="str">
        <f t="shared" si="45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4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4">
        <f>+D87+E87</f>
        <v>650261400</v>
      </c>
      <c r="G87" s="80"/>
      <c r="H87" s="79"/>
      <c r="I87" s="15"/>
      <c r="J87" s="143"/>
      <c r="K87" s="80"/>
      <c r="L87" s="80"/>
      <c r="M87" s="80"/>
      <c r="N87" s="171"/>
      <c r="O87" s="15"/>
      <c r="Q87" s="6"/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4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2</v>
      </c>
      <c r="B89" s="29" t="s">
        <v>156</v>
      </c>
      <c r="C89" s="27" t="s">
        <v>296</v>
      </c>
      <c r="D89" s="13">
        <v>953828700</v>
      </c>
      <c r="E89" s="14"/>
      <c r="F89" s="14">
        <f>D89</f>
        <v>953828700</v>
      </c>
      <c r="G89" s="80"/>
      <c r="H89" s="79">
        <v>0</v>
      </c>
      <c r="I89" s="15">
        <f>+G89+H89</f>
        <v>0</v>
      </c>
      <c r="J89" s="143">
        <f>+I89/F89</f>
        <v>0</v>
      </c>
      <c r="K89" s="80"/>
      <c r="L89" s="80">
        <v>0</v>
      </c>
      <c r="M89" s="80">
        <f>+K89+L89</f>
        <v>0</v>
      </c>
      <c r="N89" s="171">
        <f>+M89/F89</f>
        <v>0</v>
      </c>
      <c r="O89" s="15">
        <f>+F89-M89</f>
        <v>953828700</v>
      </c>
      <c r="Q89" s="6" t="str">
        <f t="shared" si="45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4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6">SUM(G85:G90)</f>
        <v>0</v>
      </c>
      <c r="H91" s="141">
        <f t="shared" si="46"/>
        <v>0</v>
      </c>
      <c r="I91" s="232">
        <f>+G91+H91</f>
        <v>0</v>
      </c>
      <c r="J91" s="176">
        <f>+I91/F91</f>
        <v>0</v>
      </c>
      <c r="K91" s="141">
        <f t="shared" ref="K91" si="47">SUM(K85:K90)</f>
        <v>0</v>
      </c>
      <c r="L91" s="141">
        <f>SUM(L85:L90)</f>
        <v>0</v>
      </c>
      <c r="M91" s="232">
        <f>+K91+L91</f>
        <v>0</v>
      </c>
      <c r="N91" s="173">
        <f>+M91/F91</f>
        <v>0</v>
      </c>
      <c r="O91" s="141"/>
      <c r="Q91" s="6" t="str">
        <f t="shared" si="45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296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/>
      <c r="F93" s="296">
        <f>+D93+E93</f>
        <v>365942800</v>
      </c>
      <c r="G93" s="10">
        <f t="shared" ref="G93:H93" si="48">+G95</f>
        <v>0</v>
      </c>
      <c r="H93" s="10">
        <f t="shared" si="48"/>
        <v>0</v>
      </c>
      <c r="I93" s="180">
        <f>+G93+H93</f>
        <v>0</v>
      </c>
      <c r="J93" s="168">
        <f>+I93/F93</f>
        <v>0</v>
      </c>
      <c r="K93" s="10">
        <f t="shared" ref="K93:L93" si="49">+K95</f>
        <v>0</v>
      </c>
      <c r="L93" s="10">
        <f t="shared" si="49"/>
        <v>0</v>
      </c>
      <c r="M93" s="180">
        <f>+K93+L93</f>
        <v>0</v>
      </c>
      <c r="N93" s="169">
        <f>+M93/F93</f>
        <v>0</v>
      </c>
      <c r="O93" s="10">
        <f>+F93-M93</f>
        <v>365942800</v>
      </c>
      <c r="Q93" s="6" t="str">
        <f t="shared" si="45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4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/>
      <c r="F95" s="14">
        <f>+D95+E95</f>
        <v>365942800</v>
      </c>
      <c r="G95" s="80"/>
      <c r="H95" s="79">
        <v>0</v>
      </c>
      <c r="I95" s="15">
        <f>+G95+H95</f>
        <v>0</v>
      </c>
      <c r="J95" s="143">
        <f>+I95/F95</f>
        <v>0</v>
      </c>
      <c r="K95" s="80"/>
      <c r="L95" s="80">
        <v>0</v>
      </c>
      <c r="M95" s="80">
        <f>+K95+L95</f>
        <v>0</v>
      </c>
      <c r="N95" s="171">
        <f>+M95/F95</f>
        <v>0</v>
      </c>
      <c r="O95" s="15">
        <f>+F95-M95</f>
        <v>365942800</v>
      </c>
      <c r="P95" s="26"/>
      <c r="Q95" s="6" t="str">
        <f t="shared" ref="Q95" si="50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2244824800</v>
      </c>
      <c r="G96" s="10">
        <f t="shared" ref="G96:H96" si="51">+G95</f>
        <v>0</v>
      </c>
      <c r="H96" s="10">
        <f t="shared" si="51"/>
        <v>0</v>
      </c>
      <c r="I96" s="180">
        <f>+G96+H96</f>
        <v>0</v>
      </c>
      <c r="J96" s="168">
        <f>+I96/F96</f>
        <v>0</v>
      </c>
      <c r="K96" s="10">
        <f t="shared" ref="K96:L96" si="52">+K95</f>
        <v>0</v>
      </c>
      <c r="L96" s="10">
        <f t="shared" si="52"/>
        <v>0</v>
      </c>
      <c r="M96" s="180">
        <f>+K96+L96</f>
        <v>0</v>
      </c>
      <c r="N96" s="169">
        <f>+M96/F96</f>
        <v>0</v>
      </c>
      <c r="O96" s="10">
        <f>+F96-M96</f>
        <v>2244824800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69</v>
      </c>
      <c r="D98" s="364">
        <f>+D83+D93</f>
        <v>2244824800</v>
      </c>
      <c r="E98" s="364">
        <f t="shared" ref="E98:I98" si="53">+E83+E93</f>
        <v>0</v>
      </c>
      <c r="F98" s="364">
        <f>+D98+E98</f>
        <v>2244824800</v>
      </c>
      <c r="G98" s="364">
        <f t="shared" si="53"/>
        <v>0</v>
      </c>
      <c r="H98" s="364">
        <f t="shared" si="53"/>
        <v>0</v>
      </c>
      <c r="I98" s="364">
        <f t="shared" si="53"/>
        <v>0</v>
      </c>
      <c r="J98" s="398">
        <f>+I98/F98</f>
        <v>0</v>
      </c>
      <c r="K98" s="364">
        <f t="shared" ref="K98:L98" si="54">+K83+K93</f>
        <v>0</v>
      </c>
      <c r="L98" s="364">
        <f t="shared" si="54"/>
        <v>0</v>
      </c>
      <c r="M98" s="364">
        <f>+K98+L98</f>
        <v>0</v>
      </c>
      <c r="N98" s="366">
        <f>+M98/F98</f>
        <v>0</v>
      </c>
      <c r="O98" s="364">
        <f>+F98-M98</f>
        <v>2244824800</v>
      </c>
      <c r="P98" s="77"/>
      <c r="Q98" s="6" t="str">
        <f t="shared" ref="Q98:Q101" si="55">IF(M98&lt;=I98,"OKE","Salah")</f>
        <v>OKE</v>
      </c>
      <c r="R98" s="6"/>
    </row>
    <row r="99" spans="1:23" ht="12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5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5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7.25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6">+E113</f>
        <v>0</v>
      </c>
      <c r="F103" s="10">
        <f>+D103+E103</f>
        <v>2422510300</v>
      </c>
      <c r="G103" s="10">
        <f t="shared" ref="G103:H103" si="57">+G113</f>
        <v>0</v>
      </c>
      <c r="H103" s="10">
        <f t="shared" si="57"/>
        <v>0</v>
      </c>
      <c r="I103" s="10">
        <f>+G103+H103</f>
        <v>0</v>
      </c>
      <c r="J103" s="168">
        <f>+I103/F103</f>
        <v>0</v>
      </c>
      <c r="K103" s="10">
        <f t="shared" ref="K103:L103" si="58">+K113</f>
        <v>0</v>
      </c>
      <c r="L103" s="10">
        <f t="shared" si="58"/>
        <v>0</v>
      </c>
      <c r="M103" s="10">
        <f>+K103+L103</f>
        <v>0</v>
      </c>
      <c r="N103" s="169">
        <f>+M103/D103</f>
        <v>0</v>
      </c>
      <c r="O103" s="10">
        <f>+F103-M103</f>
        <v>2422510300</v>
      </c>
      <c r="P103" s="77"/>
      <c r="Q103" s="6" t="str">
        <f t="shared" ref="Q103:Q105" si="59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4">
        <f>+D105+E105</f>
        <v>2422510300</v>
      </c>
      <c r="G105" s="78"/>
      <c r="H105" s="79"/>
      <c r="I105" s="15">
        <f>+G105+H105</f>
        <v>0</v>
      </c>
      <c r="J105" s="143">
        <f>+I105/F105</f>
        <v>0</v>
      </c>
      <c r="K105" s="78"/>
      <c r="L105" s="80"/>
      <c r="M105" s="80">
        <f>+K105+L105</f>
        <v>0</v>
      </c>
      <c r="N105" s="171">
        <f>+M105/D105</f>
        <v>0</v>
      </c>
      <c r="O105" s="15">
        <f>+F105-M105</f>
        <v>2422510300</v>
      </c>
      <c r="P105" s="77"/>
      <c r="Q105" s="6" t="str">
        <f t="shared" si="59"/>
        <v>OKE</v>
      </c>
      <c r="R105" s="6"/>
      <c r="T105" s="77"/>
      <c r="U105" s="77"/>
      <c r="V105" s="77"/>
    </row>
    <row r="106" spans="1:23" ht="14.1" customHeight="1" x14ac:dyDescent="0.2">
      <c r="A106" s="74"/>
      <c r="B106" s="75"/>
      <c r="C106" s="27"/>
      <c r="D106" s="13"/>
      <c r="E106" s="14"/>
      <c r="F106" s="14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7.25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4">
        <f>+D107+E107</f>
        <v>2263739200</v>
      </c>
      <c r="G107" s="78"/>
      <c r="H107" s="79"/>
      <c r="I107" s="15"/>
      <c r="J107" s="143">
        <f>+I107/F107</f>
        <v>0</v>
      </c>
      <c r="K107" s="78"/>
      <c r="L107" s="80"/>
      <c r="M107" s="80"/>
      <c r="N107" s="171">
        <f>+M107/D107</f>
        <v>0</v>
      </c>
      <c r="O107" s="15">
        <f>+F107-M107</f>
        <v>2263739200</v>
      </c>
      <c r="P107" s="77"/>
      <c r="Q107" s="6" t="str">
        <f t="shared" ref="Q107" si="60">IF(M107&lt;=I107,"OKE","Salah")</f>
        <v>OKE</v>
      </c>
      <c r="R107" s="6"/>
      <c r="T107" s="77"/>
      <c r="U107" s="77"/>
      <c r="V107" s="77"/>
    </row>
    <row r="108" spans="1:23" ht="14.1" customHeight="1" x14ac:dyDescent="0.2">
      <c r="A108" s="74"/>
      <c r="B108" s="75"/>
      <c r="C108" s="27"/>
      <c r="D108" s="13"/>
      <c r="E108" s="14"/>
      <c r="F108" s="14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7.25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4">
        <f>+D109+E109</f>
        <v>81567100</v>
      </c>
      <c r="G109" s="78"/>
      <c r="H109" s="79"/>
      <c r="I109" s="15"/>
      <c r="J109" s="143">
        <f>+I109/F109</f>
        <v>0</v>
      </c>
      <c r="K109" s="78"/>
      <c r="L109" s="80"/>
      <c r="M109" s="80"/>
      <c r="N109" s="171">
        <f>+M109/D109</f>
        <v>0</v>
      </c>
      <c r="O109" s="15">
        <f>+F109-M109</f>
        <v>81567100</v>
      </c>
      <c r="P109" s="77"/>
      <c r="Q109" s="6" t="str">
        <f t="shared" ref="Q109" si="61">IF(M109&lt;=I109,"OKE","Salah")</f>
        <v>OKE</v>
      </c>
      <c r="R109" s="6"/>
      <c r="T109" s="77"/>
      <c r="U109" s="77"/>
      <c r="V109" s="77"/>
    </row>
    <row r="110" spans="1:23" ht="14.1" customHeight="1" x14ac:dyDescent="0.2">
      <c r="A110" s="74"/>
      <c r="B110" s="75"/>
      <c r="C110" s="27"/>
      <c r="D110" s="13"/>
      <c r="E110" s="14"/>
      <c r="F110" s="14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5.75" customHeight="1" x14ac:dyDescent="0.2">
      <c r="A111" s="74">
        <v>3</v>
      </c>
      <c r="B111" s="75" t="s">
        <v>257</v>
      </c>
      <c r="C111" s="27" t="s">
        <v>259</v>
      </c>
      <c r="D111" s="13">
        <v>77204000</v>
      </c>
      <c r="E111" s="14"/>
      <c r="F111" s="14">
        <f>+D111+E111</f>
        <v>77204000</v>
      </c>
      <c r="G111" s="78"/>
      <c r="H111" s="79"/>
      <c r="I111" s="15"/>
      <c r="J111" s="143">
        <f>+I111/F111</f>
        <v>0</v>
      </c>
      <c r="K111" s="78"/>
      <c r="L111" s="80"/>
      <c r="M111" s="80"/>
      <c r="N111" s="171">
        <f>+M111/D111</f>
        <v>0</v>
      </c>
      <c r="O111" s="15">
        <f>+F111-M111</f>
        <v>77204000</v>
      </c>
      <c r="P111" s="77"/>
      <c r="Q111" s="6" t="str">
        <f t="shared" ref="Q111" si="62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0</v>
      </c>
      <c r="H113" s="364">
        <f>SUM(H107:H111)</f>
        <v>0</v>
      </c>
      <c r="I113" s="364">
        <f>+G113+H113</f>
        <v>0</v>
      </c>
      <c r="J113" s="398">
        <f>+I113/F113</f>
        <v>0</v>
      </c>
      <c r="K113" s="364">
        <f>SUM(K107:K111)</f>
        <v>0</v>
      </c>
      <c r="L113" s="364">
        <f>SUM(L107:L111)</f>
        <v>0</v>
      </c>
      <c r="M113" s="364">
        <f>+K113+L113</f>
        <v>0</v>
      </c>
      <c r="N113" s="366">
        <v>0</v>
      </c>
      <c r="O113" s="364">
        <f>+F113-M113</f>
        <v>2422510300</v>
      </c>
      <c r="P113" s="77"/>
      <c r="Q113" s="6" t="str">
        <f t="shared" ref="Q113:Q114" si="63">IF(M113&lt;=I113,"OKE","Salah")</f>
        <v>OKE</v>
      </c>
      <c r="R113" s="6"/>
    </row>
    <row r="114" spans="1:18" ht="16.5" customHeight="1" x14ac:dyDescent="0.2">
      <c r="A114" s="389"/>
      <c r="B114" s="389"/>
      <c r="C114" s="396"/>
      <c r="D114" s="396"/>
      <c r="E114" s="396"/>
      <c r="F114" s="396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3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14.1" customHeight="1" x14ac:dyDescent="0.2">
      <c r="A116" s="74"/>
      <c r="B116" s="76"/>
      <c r="C116" s="244" t="s">
        <v>318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4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7.2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5">+E126</f>
        <v>0</v>
      </c>
      <c r="F118" s="10">
        <f>+D118+E118</f>
        <v>1117572900</v>
      </c>
      <c r="G118" s="10">
        <f t="shared" ref="G118:H118" si="66">+G126</f>
        <v>0</v>
      </c>
      <c r="H118" s="10">
        <f t="shared" si="66"/>
        <v>0</v>
      </c>
      <c r="I118" s="10">
        <f>+G118+H118</f>
        <v>0</v>
      </c>
      <c r="J118" s="168">
        <f>+I118/F118</f>
        <v>0</v>
      </c>
      <c r="K118" s="10">
        <f t="shared" ref="K118:L118" si="67">+K126</f>
        <v>0</v>
      </c>
      <c r="L118" s="10">
        <f t="shared" si="67"/>
        <v>0</v>
      </c>
      <c r="M118" s="10">
        <f>+K118+L118</f>
        <v>0</v>
      </c>
      <c r="N118" s="169">
        <f>+M118/D118</f>
        <v>0</v>
      </c>
      <c r="O118" s="10">
        <f>+F118-M118</f>
        <v>1117572900</v>
      </c>
      <c r="P118" s="77"/>
      <c r="Q118" s="6" t="str">
        <f t="shared" ref="Q118:Q150" si="68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4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4">
        <f>+D120+E120</f>
        <v>705893400</v>
      </c>
      <c r="G120" s="78"/>
      <c r="H120" s="79"/>
      <c r="I120" s="80">
        <f t="shared" ref="I120" si="69">H120+G120</f>
        <v>0</v>
      </c>
      <c r="J120" s="143">
        <f>+I120/F120</f>
        <v>0</v>
      </c>
      <c r="K120" s="80"/>
      <c r="L120" s="80"/>
      <c r="M120" s="80">
        <f t="shared" ref="M120" si="70">K120+L120</f>
        <v>0</v>
      </c>
      <c r="N120" s="171">
        <f>+M120/D120</f>
        <v>0</v>
      </c>
      <c r="O120" s="15">
        <f>+F120-M120</f>
        <v>705893400</v>
      </c>
      <c r="P120" s="77"/>
      <c r="Q120" s="6" t="str">
        <f t="shared" ref="Q120" si="71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4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4">
        <f>+D122+E122</f>
        <v>153587000</v>
      </c>
      <c r="G122" s="78"/>
      <c r="H122" s="79"/>
      <c r="I122" s="15">
        <f>+G122+H122</f>
        <v>0</v>
      </c>
      <c r="J122" s="143">
        <f>+I122/F122</f>
        <v>0</v>
      </c>
      <c r="K122" s="78"/>
      <c r="L122" s="80"/>
      <c r="M122" s="80">
        <f>+K122+L122</f>
        <v>0</v>
      </c>
      <c r="N122" s="171">
        <f>+M122/D122</f>
        <v>0</v>
      </c>
      <c r="O122" s="15">
        <f>+F122-M122</f>
        <v>153587000</v>
      </c>
      <c r="P122" s="77"/>
      <c r="Q122" s="6" t="str">
        <f t="shared" ref="Q122" si="72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78"/>
      <c r="H124" s="79"/>
      <c r="I124" s="15">
        <f>+G124+H124</f>
        <v>0</v>
      </c>
      <c r="J124" s="143">
        <f>+I124/F124</f>
        <v>0</v>
      </c>
      <c r="K124" s="78"/>
      <c r="L124" s="80"/>
      <c r="M124" s="80">
        <f>+K124+L124</f>
        <v>0</v>
      </c>
      <c r="N124" s="171">
        <f>+M124/D124</f>
        <v>0</v>
      </c>
      <c r="O124" s="15">
        <f>+F124-M124</f>
        <v>258092500</v>
      </c>
      <c r="P124" s="77"/>
      <c r="Q124" s="6" t="str">
        <f t="shared" ref="Q124" si="73">IF(M124&lt;=I124,"OKE","Salah")</f>
        <v>OKE</v>
      </c>
      <c r="R124" s="6"/>
    </row>
    <row r="125" spans="1:18" ht="19.5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00" t="s">
        <v>319</v>
      </c>
      <c r="D126" s="364">
        <f>SUM(D120:D124)</f>
        <v>1117572900</v>
      </c>
      <c r="E126" s="364">
        <f t="shared" ref="E126" si="74">SUM(E120:E124)</f>
        <v>0</v>
      </c>
      <c r="F126" s="364">
        <f>+D126+E126</f>
        <v>1117572900</v>
      </c>
      <c r="G126" s="364">
        <f>SUM(G120:G124)</f>
        <v>0</v>
      </c>
      <c r="H126" s="364">
        <f>SUM(H120:H124)</f>
        <v>0</v>
      </c>
      <c r="I126" s="364">
        <f>+G126+H126</f>
        <v>0</v>
      </c>
      <c r="J126" s="368">
        <f>+I126/F126</f>
        <v>0</v>
      </c>
      <c r="K126" s="364">
        <f>SUM(K120:K124)</f>
        <v>0</v>
      </c>
      <c r="L126" s="364">
        <f>SUM(L120:L124)</f>
        <v>0</v>
      </c>
      <c r="M126" s="364">
        <f>+K126+L126</f>
        <v>0</v>
      </c>
      <c r="N126" s="366">
        <v>0</v>
      </c>
      <c r="O126" s="364">
        <f>+F126-M126</f>
        <v>1117572900</v>
      </c>
      <c r="P126" s="77"/>
      <c r="Q126" s="6" t="str">
        <f t="shared" si="68"/>
        <v>OKE</v>
      </c>
      <c r="R126" s="6"/>
    </row>
    <row r="127" spans="1:18" ht="14.1" customHeight="1" x14ac:dyDescent="0.2">
      <c r="A127" s="389"/>
      <c r="B127" s="389"/>
      <c r="C127" s="401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8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10">
        <f>+G133+G140+G148+G154+G169</f>
        <v>0</v>
      </c>
      <c r="H131" s="10">
        <f>+H133+H140+H148+H154+H162+H169</f>
        <v>663014515</v>
      </c>
      <c r="I131" s="10">
        <f>+G131+H131</f>
        <v>663014515</v>
      </c>
      <c r="J131" s="168">
        <f>+I131/F131</f>
        <v>2.5507775406829122E-2</v>
      </c>
      <c r="K131" s="10">
        <f>+K133+K140+K148+K154+K162+K169</f>
        <v>0</v>
      </c>
      <c r="L131" s="10">
        <f>+L133+L140+L148+L154+L162+L169</f>
        <v>663014515</v>
      </c>
      <c r="M131" s="10">
        <f>+K131+L131</f>
        <v>663014515</v>
      </c>
      <c r="N131" s="169">
        <f>+M131/F131</f>
        <v>2.5507775406829122E-2</v>
      </c>
      <c r="O131" s="10">
        <f>+F131-M131</f>
        <v>25329629078</v>
      </c>
      <c r="P131" s="77"/>
      <c r="Q131" s="6" t="str">
        <f t="shared" si="68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F133" si="75">+E135+E137</f>
        <v>0</v>
      </c>
      <c r="F133" s="178">
        <f t="shared" si="75"/>
        <v>26024500</v>
      </c>
      <c r="G133" s="178">
        <f t="shared" ref="G133:H133" si="76">+G135+G137</f>
        <v>0</v>
      </c>
      <c r="H133" s="178">
        <f t="shared" si="76"/>
        <v>0</v>
      </c>
      <c r="I133" s="10">
        <f>+G133+H133</f>
        <v>0</v>
      </c>
      <c r="J133" s="143">
        <f>+I133/F133</f>
        <v>0</v>
      </c>
      <c r="K133" s="178">
        <f t="shared" ref="K133:L133" si="77">+K135+K137</f>
        <v>0</v>
      </c>
      <c r="L133" s="178">
        <f t="shared" si="77"/>
        <v>0</v>
      </c>
      <c r="M133" s="80">
        <f>+K133+L133</f>
        <v>0</v>
      </c>
      <c r="N133" s="171">
        <f>+M133/F133</f>
        <v>0</v>
      </c>
      <c r="O133" s="15">
        <f>+F133-M133</f>
        <v>26024500</v>
      </c>
      <c r="P133" s="77"/>
      <c r="Q133" s="6" t="str">
        <f t="shared" ref="Q133" si="78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7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13">
        <v>11962500</v>
      </c>
      <c r="E135" s="14"/>
      <c r="F135" s="14">
        <f>E135+D135</f>
        <v>11962500</v>
      </c>
      <c r="G135" s="78"/>
      <c r="H135" s="79">
        <v>0</v>
      </c>
      <c r="I135" s="15">
        <f>+G135+H135</f>
        <v>0</v>
      </c>
      <c r="J135" s="143">
        <f>+I135/F135</f>
        <v>0</v>
      </c>
      <c r="K135" s="78"/>
      <c r="L135" s="80">
        <v>0</v>
      </c>
      <c r="M135" s="80">
        <f>+K135+L135</f>
        <v>0</v>
      </c>
      <c r="N135" s="171">
        <f>+M135/F135</f>
        <v>0</v>
      </c>
      <c r="O135" s="15">
        <f>+F135-M135</f>
        <v>11962500</v>
      </c>
      <c r="P135" s="77"/>
      <c r="Q135" s="6" t="str">
        <f t="shared" ref="Q135" si="79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7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4">
        <f>E137+D137</f>
        <v>14062000</v>
      </c>
      <c r="G137" s="78"/>
      <c r="H137" s="79">
        <v>0</v>
      </c>
      <c r="I137" s="15">
        <f>+G137+H137</f>
        <v>0</v>
      </c>
      <c r="J137" s="143">
        <f>+I137/F137</f>
        <v>0</v>
      </c>
      <c r="K137" s="78"/>
      <c r="L137" s="80">
        <v>0</v>
      </c>
      <c r="M137" s="80">
        <f>+K137+L137</f>
        <v>0</v>
      </c>
      <c r="N137" s="171">
        <f>+M137/F137</f>
        <v>0</v>
      </c>
      <c r="O137" s="15">
        <f>+F137-M137</f>
        <v>14062000</v>
      </c>
      <c r="P137" s="77"/>
      <c r="Q137" s="6" t="str">
        <f t="shared" ref="Q137" si="80">IF(M137&lt;=I137,"OKE","Salah")</f>
        <v>OKE</v>
      </c>
      <c r="R137" s="6"/>
    </row>
    <row r="138" spans="1:23" ht="12.75" customHeight="1" x14ac:dyDescent="0.2">
      <c r="A138" s="74"/>
      <c r="B138" s="75"/>
      <c r="C138" s="83"/>
      <c r="D138" s="13"/>
      <c r="E138" s="14"/>
      <c r="F138" s="14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211">
        <f>+D139+E139</f>
        <v>26024500</v>
      </c>
      <c r="G139" s="141">
        <f>+G132+G136+G138</f>
        <v>0</v>
      </c>
      <c r="H139" s="141">
        <f>+H132+H136+H138</f>
        <v>0</v>
      </c>
      <c r="I139" s="141">
        <f>+G139+H139</f>
        <v>0</v>
      </c>
      <c r="J139" s="247">
        <f>+I139/F139</f>
        <v>0</v>
      </c>
      <c r="K139" s="141">
        <f>+K132+K136+K138</f>
        <v>0</v>
      </c>
      <c r="L139" s="141">
        <f>+L132+L136+L138</f>
        <v>0</v>
      </c>
      <c r="M139" s="188">
        <f>+K139+L139</f>
        <v>0</v>
      </c>
      <c r="N139" s="247">
        <f>+M139/F139</f>
        <v>0</v>
      </c>
      <c r="O139" s="141"/>
      <c r="P139" s="83"/>
      <c r="Q139" s="6"/>
      <c r="R139" s="6"/>
    </row>
    <row r="140" spans="1:23" ht="17.100000000000001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178">
        <f t="shared" ref="G140:H140" si="81">SUM(G142:G146)</f>
        <v>0</v>
      </c>
      <c r="H140" s="178">
        <f t="shared" si="81"/>
        <v>663014515</v>
      </c>
      <c r="I140" s="10">
        <f>+G140+H140</f>
        <v>663014515</v>
      </c>
      <c r="J140" s="168">
        <f>+I140/F140</f>
        <v>2.7777054710369144E-2</v>
      </c>
      <c r="K140" s="178">
        <f t="shared" ref="K140:L140" si="82">SUM(K142:K146)</f>
        <v>0</v>
      </c>
      <c r="L140" s="178">
        <f t="shared" si="82"/>
        <v>663014515</v>
      </c>
      <c r="M140" s="180">
        <f>+K140+L140</f>
        <v>663014515</v>
      </c>
      <c r="N140" s="169">
        <f>+M140/D140</f>
        <v>2.7777054710369144E-2</v>
      </c>
      <c r="O140" s="10">
        <f>+F140-M140</f>
        <v>23206129349</v>
      </c>
      <c r="P140" s="77"/>
      <c r="Q140" s="6" t="str">
        <f t="shared" si="68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7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4">
        <f>E142+D142</f>
        <v>23812113864</v>
      </c>
      <c r="G142" s="78"/>
      <c r="H142" s="79">
        <f>646657260+16357255</f>
        <v>663014515</v>
      </c>
      <c r="I142" s="15">
        <f>+G142+H142</f>
        <v>663014515</v>
      </c>
      <c r="J142" s="143">
        <f>+I142/F142</f>
        <v>2.7843580741580817E-2</v>
      </c>
      <c r="K142" s="78"/>
      <c r="L142" s="80">
        <f>646657260+16357255</f>
        <v>663014515</v>
      </c>
      <c r="M142" s="80">
        <f>+K142+L142</f>
        <v>663014515</v>
      </c>
      <c r="N142" s="171">
        <f>+M142/D142</f>
        <v>2.7843580741580817E-2</v>
      </c>
      <c r="O142" s="15">
        <f>+F142-M142</f>
        <v>23149099349</v>
      </c>
      <c r="P142" s="77"/>
      <c r="Q142" s="6" t="str">
        <f t="shared" ref="Q142" si="83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7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4">
        <f>E144+D144</f>
        <v>44450000</v>
      </c>
      <c r="G144" s="78"/>
      <c r="H144" s="79"/>
      <c r="I144" s="15">
        <f>+G144+H144</f>
        <v>0</v>
      </c>
      <c r="J144" s="143">
        <f>+I144/F144</f>
        <v>0</v>
      </c>
      <c r="K144" s="78"/>
      <c r="L144" s="80"/>
      <c r="M144" s="80">
        <f>+K144+L144</f>
        <v>0</v>
      </c>
      <c r="N144" s="171">
        <f>+M144/D144</f>
        <v>0</v>
      </c>
      <c r="O144" s="15">
        <f>+F144-M144</f>
        <v>44450000</v>
      </c>
      <c r="P144" s="83"/>
      <c r="Q144" s="6" t="str">
        <f t="shared" si="68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7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4">
        <f>E146+D146</f>
        <v>12580000</v>
      </c>
      <c r="G146" s="78"/>
      <c r="H146" s="79"/>
      <c r="I146" s="15">
        <f>+G146+H146</f>
        <v>0</v>
      </c>
      <c r="J146" s="143">
        <f>+I146/F146</f>
        <v>0</v>
      </c>
      <c r="K146" s="78"/>
      <c r="L146" s="80"/>
      <c r="M146" s="80">
        <f>+K146+L146</f>
        <v>0</v>
      </c>
      <c r="N146" s="171">
        <f>+M146/D146</f>
        <v>0</v>
      </c>
      <c r="O146" s="15">
        <f>+F146-M146</f>
        <v>12580000</v>
      </c>
      <c r="P146" s="83"/>
      <c r="Q146" s="6" t="str">
        <f t="shared" ref="Q146" si="84">IF(M146&lt;=I146,"OKE","Salah")</f>
        <v>OKE</v>
      </c>
      <c r="R146" s="6"/>
    </row>
    <row r="147" spans="1:19" ht="17.100000000000001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5">SUM(E142:E146)</f>
        <v>0</v>
      </c>
      <c r="F147" s="141">
        <f t="shared" si="85"/>
        <v>23869143864</v>
      </c>
      <c r="G147" s="141">
        <f>SUM(G142:G146)</f>
        <v>0</v>
      </c>
      <c r="H147" s="141">
        <f>SUM(H142:H146)</f>
        <v>663014515</v>
      </c>
      <c r="I147" s="141">
        <f>+G147+H147</f>
        <v>663014515</v>
      </c>
      <c r="J147" s="247"/>
      <c r="K147" s="141">
        <f>SUM(K142:K146)</f>
        <v>0</v>
      </c>
      <c r="L147" s="141">
        <f>SUM(L142:L146)</f>
        <v>663014515</v>
      </c>
      <c r="M147" s="232">
        <f>+K147+L147</f>
        <v>663014515</v>
      </c>
      <c r="N147" s="173">
        <f>+M147/D147</f>
        <v>2.7777054710369144E-2</v>
      </c>
      <c r="O147" s="141">
        <f>+F147-M147</f>
        <v>23206129349</v>
      </c>
      <c r="P147" s="83"/>
      <c r="Q147" s="6"/>
      <c r="R147" s="6"/>
    </row>
    <row r="148" spans="1:19" ht="17.100000000000001" customHeight="1" x14ac:dyDescent="0.2">
      <c r="A148" s="74"/>
      <c r="B148" s="214" t="s">
        <v>199</v>
      </c>
      <c r="C148" s="344" t="s">
        <v>198</v>
      </c>
      <c r="D148" s="178">
        <f>+D150</f>
        <v>144000000</v>
      </c>
      <c r="E148" s="14"/>
      <c r="F148" s="14">
        <f>E148+D148</f>
        <v>144000000</v>
      </c>
      <c r="G148" s="178">
        <f>+G150</f>
        <v>0</v>
      </c>
      <c r="H148" s="178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6">IF(M148&lt;=I148,"OKE","Salah")</f>
        <v>OKE</v>
      </c>
      <c r="R148" s="6"/>
    </row>
    <row r="149" spans="1:19" ht="17.100000000000001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13">
        <v>144000000</v>
      </c>
      <c r="E150" s="14"/>
      <c r="F150" s="14">
        <f>E150+D150</f>
        <v>144000000</v>
      </c>
      <c r="G150" s="78"/>
      <c r="H150" s="79">
        <v>0</v>
      </c>
      <c r="I150" s="15">
        <f>+G150+H150</f>
        <v>0</v>
      </c>
      <c r="J150" s="143">
        <f>+I150/F150</f>
        <v>0</v>
      </c>
      <c r="K150" s="78"/>
      <c r="L150" s="80"/>
      <c r="M150" s="80">
        <f>+K150+L150</f>
        <v>0</v>
      </c>
      <c r="N150" s="171">
        <f>+M150/D150</f>
        <v>0</v>
      </c>
      <c r="O150" s="15">
        <f t="shared" ref="O150" si="87">+D150-M150</f>
        <v>144000000</v>
      </c>
      <c r="P150" s="83"/>
      <c r="Q150" s="6" t="str">
        <f t="shared" si="68"/>
        <v>OKE</v>
      </c>
      <c r="R150" s="6"/>
    </row>
    <row r="151" spans="1:19" ht="9" customHeight="1" x14ac:dyDescent="0.2">
      <c r="A151" s="74"/>
      <c r="B151" s="29"/>
      <c r="C151" s="27"/>
      <c r="D151" s="13"/>
      <c r="E151" s="14"/>
      <c r="F151" s="14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224">
        <f>+D150</f>
        <v>144000000</v>
      </c>
      <c r="E152" s="225"/>
      <c r="F152" s="225">
        <f>+F150</f>
        <v>144000000</v>
      </c>
      <c r="G152" s="224">
        <f>+G150</f>
        <v>0</v>
      </c>
      <c r="H152" s="224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178"/>
      <c r="E153" s="221"/>
      <c r="F153" s="221"/>
      <c r="G153" s="178"/>
      <c r="H153" s="178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178">
        <f>+D156+D158</f>
        <v>155412000</v>
      </c>
      <c r="E154" s="221"/>
      <c r="F154" s="221">
        <f>D154</f>
        <v>155412000</v>
      </c>
      <c r="G154" s="178">
        <f t="shared" ref="G154:H154" si="88">+G156+G158</f>
        <v>0</v>
      </c>
      <c r="H154" s="178">
        <f t="shared" si="88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9">IF(M154&lt;=I154,"OKE","Salah")</f>
        <v>OKE</v>
      </c>
      <c r="R154" s="6"/>
    </row>
    <row r="155" spans="1:19" ht="16.5" customHeight="1" x14ac:dyDescent="0.2">
      <c r="A155" s="74"/>
      <c r="B155" s="29"/>
      <c r="C155" s="27"/>
      <c r="D155" s="13"/>
      <c r="E155" s="14"/>
      <c r="F155" s="14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9.25" customHeight="1" x14ac:dyDescent="0.2">
      <c r="A156" s="205">
        <v>7</v>
      </c>
      <c r="B156" s="220" t="s">
        <v>204</v>
      </c>
      <c r="C156" s="274" t="s">
        <v>205</v>
      </c>
      <c r="D156" s="13">
        <v>0</v>
      </c>
      <c r="E156" s="14"/>
      <c r="F156" s="14">
        <f>D156</f>
        <v>0</v>
      </c>
      <c r="G156" s="78"/>
      <c r="H156" s="79"/>
      <c r="I156" s="15">
        <f>+G156+H156</f>
        <v>0</v>
      </c>
      <c r="J156" s="143">
        <v>0</v>
      </c>
      <c r="K156" s="78"/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7" si="90">IF(M156&lt;=I156,"OKE","Salah")</f>
        <v>OKE</v>
      </c>
      <c r="R156" s="6"/>
    </row>
    <row r="157" spans="1:19" ht="12" customHeight="1" x14ac:dyDescent="0.2">
      <c r="A157" s="74"/>
      <c r="B157" s="95"/>
      <c r="C157" s="27"/>
      <c r="D157" s="13"/>
      <c r="E157" s="14"/>
      <c r="F157" s="14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27" customHeight="1" x14ac:dyDescent="0.2">
      <c r="A158" s="74">
        <v>8</v>
      </c>
      <c r="B158" s="95" t="s">
        <v>206</v>
      </c>
      <c r="C158" s="219" t="s">
        <v>207</v>
      </c>
      <c r="D158" s="13">
        <v>155412000</v>
      </c>
      <c r="E158" s="14"/>
      <c r="F158" s="14">
        <f>D158</f>
        <v>155412000</v>
      </c>
      <c r="G158" s="78"/>
      <c r="H158" s="79"/>
      <c r="I158" s="15">
        <f>+G158+H158</f>
        <v>0</v>
      </c>
      <c r="J158" s="143">
        <f>+I158/F158</f>
        <v>0</v>
      </c>
      <c r="K158" s="78"/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91">IF(M158&lt;=I158,"OKE","Salah")</f>
        <v>OKE</v>
      </c>
      <c r="R158" s="6"/>
    </row>
    <row r="159" spans="1:19" ht="12" customHeight="1" x14ac:dyDescent="0.2">
      <c r="A159" s="74"/>
      <c r="B159" s="95"/>
      <c r="C159" s="27"/>
      <c r="D159" s="13"/>
      <c r="E159" s="14"/>
      <c r="F159" s="14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17.100000000000001" customHeight="1" x14ac:dyDescent="0.2">
      <c r="A160" s="226"/>
      <c r="B160" s="227"/>
      <c r="C160" s="223" t="s">
        <v>171</v>
      </c>
      <c r="D160" s="224">
        <f>+D156+D158</f>
        <v>155412000</v>
      </c>
      <c r="E160" s="224">
        <f t="shared" ref="E160:F160" si="92">+E156+E158</f>
        <v>0</v>
      </c>
      <c r="F160" s="224">
        <f t="shared" si="92"/>
        <v>155412000</v>
      </c>
      <c r="G160" s="224">
        <f t="shared" ref="G160:H160" si="93">+G156+G158</f>
        <v>0</v>
      </c>
      <c r="H160" s="224">
        <f t="shared" si="93"/>
        <v>0</v>
      </c>
      <c r="I160" s="141">
        <f>+G160+H160</f>
        <v>0</v>
      </c>
      <c r="J160" s="176">
        <f>+I160/F160</f>
        <v>0</v>
      </c>
      <c r="K160" s="224">
        <f t="shared" ref="K160:L160" si="94">+K156+K158</f>
        <v>0</v>
      </c>
      <c r="L160" s="224">
        <f t="shared" si="94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178"/>
      <c r="E161" s="221"/>
      <c r="F161" s="221"/>
      <c r="G161" s="178"/>
      <c r="H161" s="178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14.1" customHeight="1" x14ac:dyDescent="0.2">
      <c r="A162" s="212"/>
      <c r="B162" s="218"/>
      <c r="C162" s="345" t="s">
        <v>313</v>
      </c>
      <c r="D162" s="178">
        <f>+D164</f>
        <v>1621482000</v>
      </c>
      <c r="E162" s="221"/>
      <c r="F162" s="221">
        <f>+D162+E162</f>
        <v>1621482000</v>
      </c>
      <c r="G162" s="178">
        <f t="shared" ref="G162:H162" si="95">+G164</f>
        <v>0</v>
      </c>
      <c r="H162" s="178">
        <f t="shared" si="95"/>
        <v>0</v>
      </c>
      <c r="I162" s="10">
        <f>+G162+H162</f>
        <v>0</v>
      </c>
      <c r="J162" s="168">
        <f>+I162/F162</f>
        <v>0</v>
      </c>
      <c r="K162" s="178">
        <f t="shared" ref="K162:L162" si="96">+K164</f>
        <v>0</v>
      </c>
      <c r="L162" s="178">
        <f t="shared" si="96"/>
        <v>0</v>
      </c>
      <c r="M162" s="180">
        <f>+K162+L162</f>
        <v>0</v>
      </c>
      <c r="N162" s="169">
        <f>+M162/D162</f>
        <v>0</v>
      </c>
      <c r="O162" s="10">
        <f>+F162-M162</f>
        <v>1621482000</v>
      </c>
      <c r="P162" s="208"/>
      <c r="Q162" s="6"/>
      <c r="R162" s="6"/>
    </row>
    <row r="163" spans="1:18" ht="14.1" customHeight="1" x14ac:dyDescent="0.2">
      <c r="A163" s="212"/>
      <c r="B163" s="218"/>
      <c r="C163" s="25"/>
      <c r="D163" s="178"/>
      <c r="E163" s="221"/>
      <c r="F163" s="221"/>
      <c r="G163" s="178"/>
      <c r="H163" s="178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4.1" customHeight="1" x14ac:dyDescent="0.2">
      <c r="A164" s="212"/>
      <c r="B164" s="218"/>
      <c r="C164" s="219" t="s">
        <v>314</v>
      </c>
      <c r="D164" s="13">
        <v>1621482000</v>
      </c>
      <c r="E164" s="14"/>
      <c r="F164" s="14">
        <f>D164</f>
        <v>1621482000</v>
      </c>
      <c r="G164" s="78"/>
      <c r="H164" s="79">
        <v>0</v>
      </c>
      <c r="I164" s="15">
        <f>+G164+H164</f>
        <v>0</v>
      </c>
      <c r="J164" s="143">
        <f>+I164/F164</f>
        <v>0</v>
      </c>
      <c r="K164" s="78"/>
      <c r="L164" s="80">
        <v>0</v>
      </c>
      <c r="M164" s="80">
        <f>+K164+L164</f>
        <v>0</v>
      </c>
      <c r="N164" s="171">
        <f>+M164/D164</f>
        <v>0</v>
      </c>
      <c r="O164" s="15">
        <f>+F164-M164</f>
        <v>1621482000</v>
      </c>
      <c r="P164" s="83"/>
      <c r="Q164" s="6" t="str">
        <f t="shared" ref="Q164:Q166" si="97">IF(M164&lt;=I164,"OKE","Salah")</f>
        <v>OKE</v>
      </c>
      <c r="R164" s="6"/>
    </row>
    <row r="165" spans="1:18" ht="14.1" customHeight="1" x14ac:dyDescent="0.2">
      <c r="A165" s="212"/>
      <c r="B165" s="218"/>
      <c r="C165" s="25"/>
      <c r="D165" s="178"/>
      <c r="E165" s="221"/>
      <c r="F165" s="221"/>
      <c r="G165" s="178"/>
      <c r="H165" s="178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14.1" customHeight="1" x14ac:dyDescent="0.2">
      <c r="A166" s="226"/>
      <c r="B166" s="227"/>
      <c r="C166" s="223" t="s">
        <v>171</v>
      </c>
      <c r="D166" s="224">
        <f>+D164</f>
        <v>1621482000</v>
      </c>
      <c r="E166" s="224">
        <f t="shared" ref="E166:F166" si="98">+E164</f>
        <v>0</v>
      </c>
      <c r="F166" s="224">
        <f t="shared" si="98"/>
        <v>1621482000</v>
      </c>
      <c r="G166" s="224">
        <f t="shared" ref="G166" si="99">+G162+G164</f>
        <v>0</v>
      </c>
      <c r="H166" s="224">
        <f>+H164</f>
        <v>0</v>
      </c>
      <c r="I166" s="141">
        <f>+G166+H166</f>
        <v>0</v>
      </c>
      <c r="J166" s="176">
        <f>+I166/F166</f>
        <v>0</v>
      </c>
      <c r="K166" s="224">
        <f t="shared" ref="K166:L166" si="100">+K164</f>
        <v>0</v>
      </c>
      <c r="L166" s="224">
        <f t="shared" si="100"/>
        <v>0</v>
      </c>
      <c r="M166" s="232">
        <f>+K166+L166</f>
        <v>0</v>
      </c>
      <c r="N166" s="173">
        <f>+M166/D166</f>
        <v>0</v>
      </c>
      <c r="O166" s="141">
        <f>+F166-M166</f>
        <v>1621482000</v>
      </c>
      <c r="P166" s="208"/>
      <c r="Q166" s="6" t="str">
        <f t="shared" si="97"/>
        <v>OKE</v>
      </c>
      <c r="R166" s="6"/>
    </row>
    <row r="167" spans="1:18" ht="14.1" customHeight="1" x14ac:dyDescent="0.2">
      <c r="A167" s="212"/>
      <c r="B167" s="218"/>
      <c r="C167" s="25"/>
      <c r="D167" s="178"/>
      <c r="E167" s="221"/>
      <c r="F167" s="221"/>
      <c r="G167" s="178"/>
      <c r="H167" s="178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4.5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14.1" customHeight="1" x14ac:dyDescent="0.2">
      <c r="A169" s="74"/>
      <c r="B169" s="214" t="s">
        <v>304</v>
      </c>
      <c r="C169" s="344" t="s">
        <v>277</v>
      </c>
      <c r="D169" s="178">
        <f>+D171</f>
        <v>176581229</v>
      </c>
      <c r="E169" s="14"/>
      <c r="F169" s="14">
        <f>E169+D169</f>
        <v>176581229</v>
      </c>
      <c r="G169" s="178">
        <f>+G171+G175</f>
        <v>0</v>
      </c>
      <c r="H169" s="178">
        <f>+H171+H175</f>
        <v>0</v>
      </c>
      <c r="I169" s="10">
        <f>+G169+H169</f>
        <v>0</v>
      </c>
      <c r="J169" s="168">
        <f>+I169/F169</f>
        <v>0</v>
      </c>
      <c r="K169" s="178">
        <f>+K171+K175</f>
        <v>0</v>
      </c>
      <c r="L169" s="178">
        <f>+L171+L175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101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13">
        <v>176581229</v>
      </c>
      <c r="E171" s="14"/>
      <c r="F171" s="14">
        <f>E171+D171</f>
        <v>176581229</v>
      </c>
      <c r="G171" s="78">
        <v>0</v>
      </c>
      <c r="H171" s="79">
        <v>0</v>
      </c>
      <c r="I171" s="15">
        <f>+G171+H171</f>
        <v>0</v>
      </c>
      <c r="J171" s="143">
        <f>+I171/F171</f>
        <v>0</v>
      </c>
      <c r="K171" s="78"/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102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13"/>
      <c r="E172" s="14"/>
      <c r="F172" s="14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4.1" customHeight="1" x14ac:dyDescent="0.2">
      <c r="A173" s="74"/>
      <c r="B173" s="29"/>
      <c r="C173" s="25"/>
      <c r="D173" s="178"/>
      <c r="E173" s="221"/>
      <c r="F173" s="221"/>
      <c r="G173" s="178"/>
      <c r="H173" s="178"/>
      <c r="I173" s="10"/>
      <c r="J173" s="168"/>
      <c r="K173" s="194"/>
      <c r="L173" s="180"/>
      <c r="M173" s="180"/>
      <c r="N173" s="169"/>
      <c r="O173" s="10"/>
      <c r="P173" s="208"/>
      <c r="Q173" s="6"/>
      <c r="R173" s="6"/>
    </row>
    <row r="174" spans="1:18" ht="18.75" customHeight="1" x14ac:dyDescent="0.2">
      <c r="A174" s="139"/>
      <c r="B174" s="222"/>
      <c r="C174" s="223" t="s">
        <v>171</v>
      </c>
      <c r="D174" s="224">
        <f>+D171</f>
        <v>176581229</v>
      </c>
      <c r="E174" s="224">
        <f>+E171</f>
        <v>0</v>
      </c>
      <c r="F174" s="224">
        <f>+F171</f>
        <v>176581229</v>
      </c>
      <c r="G174" s="224">
        <f>+G171</f>
        <v>0</v>
      </c>
      <c r="H174" s="224">
        <f>+H171</f>
        <v>0</v>
      </c>
      <c r="I174" s="141">
        <f>+G174+H174</f>
        <v>0</v>
      </c>
      <c r="J174" s="176">
        <f>+I174/F174</f>
        <v>0</v>
      </c>
      <c r="K174" s="224">
        <f>+K171</f>
        <v>0</v>
      </c>
      <c r="L174" s="224">
        <f>+L171</f>
        <v>0</v>
      </c>
      <c r="M174" s="232">
        <f>+K174+L174</f>
        <v>0</v>
      </c>
      <c r="N174" s="173">
        <f>+M174/D174</f>
        <v>0</v>
      </c>
      <c r="O174" s="141">
        <f>+F174-M174</f>
        <v>176581229</v>
      </c>
      <c r="P174" s="208"/>
      <c r="Q174" s="6"/>
      <c r="R174" s="6"/>
    </row>
    <row r="175" spans="1:18" ht="14.1" customHeight="1" x14ac:dyDescent="0.2">
      <c r="A175" s="81"/>
      <c r="B175" s="81"/>
      <c r="C175" s="251"/>
      <c r="D175" s="32"/>
      <c r="E175" s="32"/>
      <c r="F175" s="32"/>
      <c r="G175" s="252"/>
      <c r="H175" s="253"/>
      <c r="I175" s="252"/>
      <c r="J175" s="254"/>
      <c r="K175" s="252"/>
      <c r="L175" s="251"/>
      <c r="M175" s="251"/>
      <c r="N175" s="86"/>
      <c r="O175" s="76"/>
      <c r="P175" s="83"/>
      <c r="Q175" s="6"/>
      <c r="R175" s="6"/>
    </row>
    <row r="176" spans="1:18" ht="14.1" customHeight="1" x14ac:dyDescent="0.2">
      <c r="A176" s="388"/>
      <c r="B176" s="388"/>
      <c r="C176" s="395" t="s">
        <v>137</v>
      </c>
      <c r="D176" s="364">
        <f>+D139+D147+D152+D160+D166+D174</f>
        <v>25992643593</v>
      </c>
      <c r="E176" s="364">
        <v>0</v>
      </c>
      <c r="F176" s="364">
        <f>+D176+E176</f>
        <v>25992643593</v>
      </c>
      <c r="G176" s="364">
        <f>+G139+G147+G152+G160+G166+G174</f>
        <v>0</v>
      </c>
      <c r="H176" s="364">
        <f>+H139+H147+H152+H160+H166+H174</f>
        <v>663014515</v>
      </c>
      <c r="I176" s="364">
        <f>+I139+I147+I152+I160+I166+I174</f>
        <v>663014515</v>
      </c>
      <c r="J176" s="398">
        <f>+I176/F176</f>
        <v>2.5507775406829122E-2</v>
      </c>
      <c r="K176" s="364">
        <f>+K139+K147+K152+K160+K174</f>
        <v>0</v>
      </c>
      <c r="L176" s="364">
        <f>+L139+L147+L152+L160+L166+L174</f>
        <v>663014515</v>
      </c>
      <c r="M176" s="364">
        <f>+K176+L176</f>
        <v>663014515</v>
      </c>
      <c r="N176" s="405">
        <f>+M176/F176</f>
        <v>2.5507775406829122E-2</v>
      </c>
      <c r="O176" s="402">
        <f>+F176-M176</f>
        <v>25329629078</v>
      </c>
      <c r="P176" s="83"/>
      <c r="Q176" s="6" t="str">
        <f t="shared" si="90"/>
        <v>OKE</v>
      </c>
      <c r="R176" s="6"/>
    </row>
    <row r="177" spans="1:18" ht="14.1" customHeight="1" x14ac:dyDescent="0.2">
      <c r="A177" s="389"/>
      <c r="B177" s="389"/>
      <c r="C177" s="396"/>
      <c r="D177" s="396"/>
      <c r="E177" s="396"/>
      <c r="F177" s="396"/>
      <c r="G177" s="396"/>
      <c r="H177" s="396"/>
      <c r="I177" s="396"/>
      <c r="J177" s="404"/>
      <c r="K177" s="396"/>
      <c r="L177" s="396"/>
      <c r="M177" s="365"/>
      <c r="N177" s="406"/>
      <c r="O177" s="403"/>
      <c r="P177" s="83"/>
      <c r="Q177" s="6" t="str">
        <f t="shared" si="90"/>
        <v>OKE</v>
      </c>
      <c r="R177" s="6"/>
    </row>
    <row r="178" spans="1:18" ht="15" customHeight="1" x14ac:dyDescent="0.2">
      <c r="A178" s="74"/>
      <c r="B178" s="74"/>
      <c r="C178" s="76"/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15" customHeight="1" x14ac:dyDescent="0.2">
      <c r="A179" s="74"/>
      <c r="B179" s="74"/>
      <c r="C179" s="244" t="s">
        <v>70</v>
      </c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83"/>
      <c r="Q179" s="6"/>
      <c r="R179" s="6"/>
    </row>
    <row r="180" spans="1:18" ht="14.1" customHeight="1" x14ac:dyDescent="0.2">
      <c r="A180" s="74"/>
      <c r="B180" s="74"/>
      <c r="C180" s="76"/>
      <c r="D180" s="15"/>
      <c r="E180" s="15"/>
      <c r="F180" s="15"/>
      <c r="G180" s="80"/>
      <c r="H180" s="79"/>
      <c r="I180" s="80"/>
      <c r="J180" s="86"/>
      <c r="K180" s="80"/>
      <c r="L180" s="76"/>
      <c r="M180" s="76"/>
      <c r="N180" s="86"/>
      <c r="O180" s="10"/>
      <c r="P180" s="77"/>
      <c r="Q180" s="6"/>
      <c r="R180" s="6"/>
    </row>
    <row r="181" spans="1:18" ht="24.75" customHeight="1" x14ac:dyDescent="0.2">
      <c r="A181" s="7"/>
      <c r="B181" s="206" t="s">
        <v>154</v>
      </c>
      <c r="C181" s="201" t="s">
        <v>153</v>
      </c>
      <c r="D181" s="10">
        <f>+D183</f>
        <v>1189109400</v>
      </c>
      <c r="E181" s="10">
        <f t="shared" ref="E181:F181" si="103">+E183</f>
        <v>0</v>
      </c>
      <c r="F181" s="10">
        <f t="shared" si="103"/>
        <v>1189109400</v>
      </c>
      <c r="G181" s="10">
        <f t="shared" ref="G181:H181" si="104">+G183</f>
        <v>0</v>
      </c>
      <c r="H181" s="10">
        <f t="shared" si="104"/>
        <v>0</v>
      </c>
      <c r="I181" s="10">
        <f>+G181+H181</f>
        <v>0</v>
      </c>
      <c r="J181" s="168">
        <f>+I181/F181</f>
        <v>0</v>
      </c>
      <c r="K181" s="10">
        <f t="shared" ref="K181:L181" si="105">+K183</f>
        <v>0</v>
      </c>
      <c r="L181" s="10">
        <f t="shared" si="105"/>
        <v>0</v>
      </c>
      <c r="M181" s="10">
        <f>+K181+L181</f>
        <v>0</v>
      </c>
      <c r="N181" s="169">
        <f>+M181/F181</f>
        <v>0</v>
      </c>
      <c r="O181" s="10">
        <f>+F181-M181</f>
        <v>1189109400</v>
      </c>
      <c r="P181" s="77"/>
      <c r="Q181" s="6" t="str">
        <f t="shared" ref="Q181" si="106">IF(M181&lt;=I181,"OKE","Salah")</f>
        <v>OKE</v>
      </c>
      <c r="R181" s="6"/>
    </row>
    <row r="182" spans="1:18" ht="14.1" customHeight="1" x14ac:dyDescent="0.2">
      <c r="A182" s="74"/>
      <c r="B182" s="74"/>
      <c r="C182" s="76"/>
      <c r="D182" s="15"/>
      <c r="E182" s="15"/>
      <c r="F182" s="15"/>
      <c r="G182" s="80"/>
      <c r="H182" s="79"/>
      <c r="I182" s="80"/>
      <c r="J182" s="86"/>
      <c r="K182" s="80"/>
      <c r="L182" s="76"/>
      <c r="M182" s="76"/>
      <c r="N182" s="86"/>
      <c r="O182" s="10"/>
      <c r="P182" s="77"/>
      <c r="Q182" s="6"/>
      <c r="R182" s="6"/>
    </row>
    <row r="183" spans="1:18" ht="18" customHeight="1" x14ac:dyDescent="0.2">
      <c r="A183" s="74"/>
      <c r="B183" s="95" t="s">
        <v>212</v>
      </c>
      <c r="C183" s="25" t="s">
        <v>213</v>
      </c>
      <c r="D183" s="178">
        <f>SUM(D185:D191)</f>
        <v>1189109400</v>
      </c>
      <c r="E183" s="14"/>
      <c r="F183" s="221">
        <f>E183+D183</f>
        <v>1189109400</v>
      </c>
      <c r="G183" s="13">
        <f>SUM(G185:G191)</f>
        <v>0</v>
      </c>
      <c r="H183" s="13">
        <f>SUM(H185:H191)</f>
        <v>0</v>
      </c>
      <c r="I183" s="15">
        <f>H183+G183</f>
        <v>0</v>
      </c>
      <c r="J183" s="143">
        <f>+I183/F183</f>
        <v>0</v>
      </c>
      <c r="K183" s="80"/>
      <c r="L183" s="80"/>
      <c r="M183" s="80">
        <f>+K183+L183</f>
        <v>0</v>
      </c>
      <c r="N183" s="171">
        <f>+M183/F183</f>
        <v>0</v>
      </c>
      <c r="O183" s="15">
        <f>+F183-M183</f>
        <v>1189109400</v>
      </c>
      <c r="P183" s="77"/>
      <c r="Q183" s="6" t="str">
        <f t="shared" ref="Q183" si="107">IF(M183&lt;=I183,"OKE","Salah")</f>
        <v>OKE</v>
      </c>
      <c r="R183" s="6"/>
    </row>
    <row r="184" spans="1:18" ht="15.75" customHeight="1" x14ac:dyDescent="0.2">
      <c r="A184" s="74"/>
      <c r="B184" s="95"/>
      <c r="C184" s="27"/>
      <c r="D184" s="13"/>
      <c r="E184" s="14"/>
      <c r="F184" s="14"/>
      <c r="G184" s="78"/>
      <c r="H184" s="79"/>
      <c r="I184" s="15"/>
      <c r="J184" s="143"/>
      <c r="K184" s="80"/>
      <c r="L184" s="80"/>
      <c r="M184" s="80"/>
      <c r="N184" s="171"/>
      <c r="O184" s="15"/>
      <c r="P184" s="77"/>
      <c r="Q184" s="6"/>
      <c r="R184" s="6"/>
    </row>
    <row r="185" spans="1:18" ht="14.1" customHeight="1" x14ac:dyDescent="0.2">
      <c r="A185" s="74">
        <v>1</v>
      </c>
      <c r="B185" s="95" t="s">
        <v>215</v>
      </c>
      <c r="C185" s="27" t="s">
        <v>214</v>
      </c>
      <c r="D185" s="13">
        <v>206216100</v>
      </c>
      <c r="E185" s="14"/>
      <c r="F185" s="14">
        <f>E185+D185</f>
        <v>206216100</v>
      </c>
      <c r="G185" s="78"/>
      <c r="H185" s="79"/>
      <c r="I185" s="15">
        <f>H185+G185</f>
        <v>0</v>
      </c>
      <c r="J185" s="143">
        <f>+I185/F185</f>
        <v>0</v>
      </c>
      <c r="K185" s="80"/>
      <c r="L185" s="80"/>
      <c r="M185" s="80">
        <f>+K185+L185</f>
        <v>0</v>
      </c>
      <c r="N185" s="171">
        <f>+M185/F185</f>
        <v>0</v>
      </c>
      <c r="O185" s="15">
        <f>+F185-M185</f>
        <v>206216100</v>
      </c>
      <c r="P185" s="77"/>
      <c r="Q185" s="6" t="str">
        <f t="shared" ref="Q185" si="108">IF(M185&lt;=I185,"OKE","Salah")</f>
        <v>OKE</v>
      </c>
      <c r="R185" s="6"/>
    </row>
    <row r="186" spans="1:18" ht="15.75" customHeight="1" x14ac:dyDescent="0.2">
      <c r="A186" s="74"/>
      <c r="B186" s="95"/>
      <c r="C186" s="27"/>
      <c r="D186" s="13"/>
      <c r="E186" s="14"/>
      <c r="F186" s="14"/>
      <c r="G186" s="78"/>
      <c r="H186" s="79"/>
      <c r="I186" s="15"/>
      <c r="J186" s="143"/>
      <c r="K186" s="80"/>
      <c r="L186" s="80"/>
      <c r="M186" s="80"/>
      <c r="N186" s="171"/>
      <c r="O186" s="15"/>
      <c r="P186" s="77"/>
      <c r="Q186" s="6"/>
      <c r="R186" s="6"/>
    </row>
    <row r="187" spans="1:18" ht="14.1" customHeight="1" x14ac:dyDescent="0.2">
      <c r="A187" s="74">
        <v>2</v>
      </c>
      <c r="B187" s="95" t="s">
        <v>217</v>
      </c>
      <c r="C187" s="27" t="s">
        <v>216</v>
      </c>
      <c r="D187" s="13">
        <v>615087000</v>
      </c>
      <c r="E187" s="14"/>
      <c r="F187" s="14">
        <f>E187+D187</f>
        <v>615087000</v>
      </c>
      <c r="G187" s="78"/>
      <c r="H187" s="79"/>
      <c r="I187" s="15">
        <f>H187+G187</f>
        <v>0</v>
      </c>
      <c r="J187" s="143">
        <f>+I187/F187</f>
        <v>0</v>
      </c>
      <c r="K187" s="80"/>
      <c r="L187" s="80"/>
      <c r="M187" s="80">
        <f>+K187+L187</f>
        <v>0</v>
      </c>
      <c r="N187" s="171">
        <f>+M187/F187</f>
        <v>0</v>
      </c>
      <c r="O187" s="15">
        <f>+F187-M187</f>
        <v>615087000</v>
      </c>
      <c r="P187" s="77"/>
      <c r="Q187" s="6" t="str">
        <f t="shared" ref="Q187" si="109">IF(M187&lt;=I187,"OKE","Salah")</f>
        <v>OKE</v>
      </c>
      <c r="R187" s="6"/>
    </row>
    <row r="188" spans="1:18" ht="17.25" customHeight="1" x14ac:dyDescent="0.2">
      <c r="A188" s="74"/>
      <c r="B188" s="95"/>
      <c r="C188" s="27"/>
      <c r="D188" s="13"/>
      <c r="E188" s="14"/>
      <c r="F188" s="14"/>
      <c r="G188" s="78"/>
      <c r="H188" s="79"/>
      <c r="I188" s="15"/>
      <c r="J188" s="143"/>
      <c r="K188" s="80"/>
      <c r="L188" s="80"/>
      <c r="M188" s="80"/>
      <c r="N188" s="171"/>
      <c r="O188" s="15"/>
      <c r="P188" s="77"/>
      <c r="Q188" s="6"/>
      <c r="R188" s="6"/>
    </row>
    <row r="189" spans="1:18" ht="14.1" customHeight="1" x14ac:dyDescent="0.2">
      <c r="A189" s="74">
        <v>3</v>
      </c>
      <c r="B189" s="95" t="s">
        <v>219</v>
      </c>
      <c r="C189" s="27" t="s">
        <v>218</v>
      </c>
      <c r="D189" s="13">
        <v>257443800</v>
      </c>
      <c r="E189" s="14"/>
      <c r="F189" s="14">
        <f>E189+D189</f>
        <v>257443800</v>
      </c>
      <c r="G189" s="78"/>
      <c r="H189" s="79"/>
      <c r="I189" s="15">
        <f>H189+G189</f>
        <v>0</v>
      </c>
      <c r="J189" s="143">
        <f>+I189/F189</f>
        <v>0</v>
      </c>
      <c r="K189" s="80"/>
      <c r="L189" s="80"/>
      <c r="M189" s="80">
        <f>+K189+L189</f>
        <v>0</v>
      </c>
      <c r="N189" s="171">
        <f>+M189/F189</f>
        <v>0</v>
      </c>
      <c r="O189" s="15">
        <f>+F189-M189</f>
        <v>257443800</v>
      </c>
      <c r="P189" s="77"/>
      <c r="Q189" s="6" t="str">
        <f t="shared" ref="Q189" si="110">IF(M189&lt;=I189,"OKE","Salah")</f>
        <v>OKE</v>
      </c>
      <c r="R189" s="6"/>
    </row>
    <row r="190" spans="1:18" ht="17.25" customHeight="1" x14ac:dyDescent="0.2">
      <c r="A190" s="74"/>
      <c r="B190" s="95"/>
      <c r="C190" s="27"/>
      <c r="D190" s="13"/>
      <c r="E190" s="14"/>
      <c r="F190" s="14"/>
      <c r="G190" s="78"/>
      <c r="H190" s="79"/>
      <c r="I190" s="15"/>
      <c r="J190" s="143"/>
      <c r="K190" s="80"/>
      <c r="L190" s="80"/>
      <c r="M190" s="80"/>
      <c r="N190" s="171"/>
      <c r="O190" s="15"/>
      <c r="P190" s="77"/>
      <c r="Q190" s="6"/>
      <c r="R190" s="6"/>
    </row>
    <row r="191" spans="1:18" ht="27.75" customHeight="1" x14ac:dyDescent="0.2">
      <c r="A191" s="205">
        <v>4</v>
      </c>
      <c r="B191" s="220" t="s">
        <v>221</v>
      </c>
      <c r="C191" s="219" t="s">
        <v>220</v>
      </c>
      <c r="D191" s="213">
        <v>110362500</v>
      </c>
      <c r="E191" s="14"/>
      <c r="F191" s="14">
        <f>E191+D191</f>
        <v>110362500</v>
      </c>
      <c r="G191" s="78"/>
      <c r="H191" s="79"/>
      <c r="I191" s="15">
        <f>H191+G191</f>
        <v>0</v>
      </c>
      <c r="J191" s="143">
        <f>+I191/F191</f>
        <v>0</v>
      </c>
      <c r="K191" s="80"/>
      <c r="L191" s="80"/>
      <c r="M191" s="80">
        <f>+K191+L191</f>
        <v>0</v>
      </c>
      <c r="N191" s="171">
        <f>+M191/F191</f>
        <v>0</v>
      </c>
      <c r="O191" s="15">
        <f>+F191-M191</f>
        <v>110362500</v>
      </c>
      <c r="P191" s="77"/>
      <c r="Q191" s="6" t="str">
        <f t="shared" ref="Q191" si="111">IF(M191&lt;=I191,"OKE","Salah")</f>
        <v>OKE</v>
      </c>
      <c r="R191" s="6"/>
    </row>
    <row r="192" spans="1:18" ht="14.1" customHeight="1" x14ac:dyDescent="0.2">
      <c r="A192" s="139"/>
      <c r="B192" s="139"/>
      <c r="C192" s="140"/>
      <c r="D192" s="142"/>
      <c r="E192" s="142"/>
      <c r="F192" s="142"/>
      <c r="G192" s="188"/>
      <c r="H192" s="246"/>
      <c r="I192" s="188"/>
      <c r="J192" s="247"/>
      <c r="K192" s="188"/>
      <c r="L192" s="245"/>
      <c r="M192" s="245"/>
      <c r="N192" s="247"/>
      <c r="O192" s="141"/>
      <c r="P192" s="77"/>
      <c r="Q192" s="6"/>
      <c r="R192" s="6"/>
    </row>
    <row r="193" spans="1:19" ht="14.1" customHeight="1" x14ac:dyDescent="0.2">
      <c r="A193" s="388"/>
      <c r="B193" s="388"/>
      <c r="C193" s="395" t="s">
        <v>72</v>
      </c>
      <c r="D193" s="364">
        <f>SUM(D185:D191)</f>
        <v>1189109400</v>
      </c>
      <c r="E193" s="364">
        <f>SUM(E185:E191)</f>
        <v>0</v>
      </c>
      <c r="F193" s="364">
        <f>SUM(F185:F191)</f>
        <v>1189109400</v>
      </c>
      <c r="G193" s="364">
        <f>SUM(G185:G191)</f>
        <v>0</v>
      </c>
      <c r="H193" s="364">
        <f>SUM(H185:H191)</f>
        <v>0</v>
      </c>
      <c r="I193" s="364">
        <f>G193+H193</f>
        <v>0</v>
      </c>
      <c r="J193" s="368">
        <f>+I193/F193</f>
        <v>0</v>
      </c>
      <c r="K193" s="364">
        <f>SUM(K185:K191)</f>
        <v>0</v>
      </c>
      <c r="L193" s="364">
        <f>SUM(L185:L191)</f>
        <v>0</v>
      </c>
      <c r="M193" s="364">
        <f>+K193*L193</f>
        <v>0</v>
      </c>
      <c r="N193" s="366">
        <f>+M193/F193</f>
        <v>0</v>
      </c>
      <c r="O193" s="364">
        <f>+F193-M193</f>
        <v>1189109400</v>
      </c>
      <c r="P193" s="77"/>
      <c r="Q193" s="6" t="str">
        <f t="shared" ref="Q193:Q228" si="112">IF(M193&lt;=I193,"OKE","Salah")</f>
        <v>OKE</v>
      </c>
      <c r="R193" s="6"/>
    </row>
    <row r="194" spans="1:19" ht="14.1" customHeight="1" x14ac:dyDescent="0.2">
      <c r="A194" s="389"/>
      <c r="B194" s="389"/>
      <c r="C194" s="396"/>
      <c r="D194" s="365"/>
      <c r="E194" s="365"/>
      <c r="F194" s="365"/>
      <c r="G194" s="365"/>
      <c r="H194" s="365"/>
      <c r="I194" s="396"/>
      <c r="J194" s="369"/>
      <c r="K194" s="365"/>
      <c r="L194" s="365"/>
      <c r="M194" s="365"/>
      <c r="N194" s="367"/>
      <c r="O194" s="365"/>
      <c r="P194" s="77"/>
      <c r="Q194" s="6" t="str">
        <f t="shared" si="112"/>
        <v>OKE</v>
      </c>
      <c r="R194" s="6"/>
    </row>
    <row r="195" spans="1:19" ht="14.45" customHeight="1" x14ac:dyDescent="0.2">
      <c r="A195" s="74"/>
      <c r="B195" s="76"/>
      <c r="C195" s="76"/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248"/>
      <c r="O195" s="241"/>
      <c r="P195" s="77"/>
      <c r="Q195" s="6"/>
      <c r="R195" s="6"/>
    </row>
    <row r="196" spans="1:19" ht="17.100000000000001" customHeight="1" x14ac:dyDescent="0.2">
      <c r="A196" s="74"/>
      <c r="B196" s="76"/>
      <c r="C196" s="244" t="s">
        <v>73</v>
      </c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ht="14.25" customHeight="1" x14ac:dyDescent="0.2">
      <c r="A197" s="74"/>
      <c r="B197" s="76"/>
      <c r="C197" s="76"/>
      <c r="D197" s="8"/>
      <c r="E197" s="8"/>
      <c r="F197" s="8"/>
      <c r="G197" s="76"/>
      <c r="H197" s="82"/>
      <c r="I197" s="76"/>
      <c r="J197" s="86"/>
      <c r="K197" s="76"/>
      <c r="L197" s="76"/>
      <c r="M197" s="76"/>
      <c r="N197" s="86"/>
      <c r="O197" s="76"/>
      <c r="P197" s="77"/>
      <c r="Q197" s="6"/>
      <c r="R197" s="6"/>
    </row>
    <row r="198" spans="1:19" ht="27" customHeight="1" x14ac:dyDescent="0.2">
      <c r="A198" s="7"/>
      <c r="B198" s="206" t="s">
        <v>154</v>
      </c>
      <c r="C198" s="201" t="s">
        <v>153</v>
      </c>
      <c r="D198" s="10">
        <f>+D200+D208+D222+D230+D247</f>
        <v>11163425000</v>
      </c>
      <c r="E198" s="10">
        <f>+E200+E208+E222+E230+E247</f>
        <v>0</v>
      </c>
      <c r="F198" s="10">
        <f>+D198+E198</f>
        <v>11163425000</v>
      </c>
      <c r="G198" s="10">
        <f>+G208+G222+G230+G247</f>
        <v>0</v>
      </c>
      <c r="H198" s="10">
        <f>+H208+H222+H230+H247</f>
        <v>95983138</v>
      </c>
      <c r="I198" s="10">
        <f>+G198+H198</f>
        <v>95983138</v>
      </c>
      <c r="J198" s="168">
        <f>+I198/F198</f>
        <v>8.5980008823456962E-3</v>
      </c>
      <c r="K198" s="10">
        <f>+K200+K208+K222+K230+K247</f>
        <v>0</v>
      </c>
      <c r="L198" s="10">
        <f>+L200+L208+L222+L230+L247</f>
        <v>95983138</v>
      </c>
      <c r="M198" s="10">
        <f>+K198+L198</f>
        <v>95983138</v>
      </c>
      <c r="N198" s="169">
        <f>+M198/F198</f>
        <v>8.5980008823456962E-3</v>
      </c>
      <c r="O198" s="10">
        <f>+F198-M198</f>
        <v>11067441862</v>
      </c>
      <c r="P198" s="77"/>
      <c r="Q198" s="6" t="str">
        <f t="shared" ref="Q198:Q200" si="113">IF(M198&lt;=I198,"OKE","Salah")</f>
        <v>OKE</v>
      </c>
      <c r="R198" s="6"/>
    </row>
    <row r="199" spans="1:19" ht="15" customHeight="1" x14ac:dyDescent="0.2">
      <c r="A199" s="7"/>
      <c r="B199" s="206"/>
      <c r="C199" s="305"/>
      <c r="D199" s="10"/>
      <c r="E199" s="296"/>
      <c r="F199" s="296"/>
      <c r="G199" s="10"/>
      <c r="H199" s="10"/>
      <c r="I199" s="10"/>
      <c r="J199" s="168"/>
      <c r="K199" s="10"/>
      <c r="L199" s="10"/>
      <c r="M199" s="10"/>
      <c r="N199" s="169"/>
      <c r="O199" s="10"/>
      <c r="P199" s="77"/>
      <c r="Q199" s="6"/>
      <c r="R199" s="6"/>
    </row>
    <row r="200" spans="1:19" ht="15" customHeight="1" x14ac:dyDescent="0.2">
      <c r="A200" s="212"/>
      <c r="B200" s="7" t="s">
        <v>160</v>
      </c>
      <c r="C200" s="208" t="s">
        <v>315</v>
      </c>
      <c r="D200" s="178">
        <f>+D202+D204</f>
        <v>164975000</v>
      </c>
      <c r="E200" s="221"/>
      <c r="F200" s="221">
        <f>+D200+E200</f>
        <v>164975000</v>
      </c>
      <c r="G200" s="178">
        <f t="shared" ref="G200:H200" si="114">+G202+G204</f>
        <v>0</v>
      </c>
      <c r="H200" s="178">
        <f t="shared" si="114"/>
        <v>0</v>
      </c>
      <c r="I200" s="10">
        <f>+G200+H200</f>
        <v>0</v>
      </c>
      <c r="J200" s="168">
        <f>+I200/F200</f>
        <v>0</v>
      </c>
      <c r="K200" s="178">
        <f t="shared" ref="K200:L200" si="115">+K202+K204</f>
        <v>0</v>
      </c>
      <c r="L200" s="178">
        <f t="shared" si="115"/>
        <v>0</v>
      </c>
      <c r="M200" s="10">
        <f>+K200+L200</f>
        <v>0</v>
      </c>
      <c r="N200" s="169">
        <f>+M200/F200</f>
        <v>0</v>
      </c>
      <c r="O200" s="10">
        <f>+F200-M200</f>
        <v>164975000</v>
      </c>
      <c r="P200" s="77"/>
      <c r="Q200" s="6" t="str">
        <f t="shared" si="113"/>
        <v>OKE</v>
      </c>
      <c r="R200" s="6"/>
    </row>
    <row r="201" spans="1:19" ht="15" customHeight="1" x14ac:dyDescent="0.2">
      <c r="A201" s="74"/>
      <c r="B201" s="74"/>
      <c r="C201" s="76"/>
      <c r="D201" s="15"/>
      <c r="E201" s="17"/>
      <c r="F201" s="17"/>
      <c r="G201" s="78"/>
      <c r="H201" s="79"/>
      <c r="I201" s="80"/>
      <c r="J201" s="86"/>
      <c r="K201" s="78"/>
      <c r="L201" s="76"/>
      <c r="M201" s="76"/>
      <c r="N201" s="86"/>
      <c r="O201" s="10"/>
      <c r="P201" s="77"/>
      <c r="Q201" s="6"/>
      <c r="R201" s="6"/>
    </row>
    <row r="202" spans="1:19" ht="15" customHeight="1" x14ac:dyDescent="0.2">
      <c r="A202" s="74">
        <v>1</v>
      </c>
      <c r="B202" s="28" t="s">
        <v>164</v>
      </c>
      <c r="C202" s="83" t="s">
        <v>316</v>
      </c>
      <c r="D202" s="13">
        <v>139975000</v>
      </c>
      <c r="E202" s="14"/>
      <c r="F202" s="14">
        <f>+D202+E202</f>
        <v>139975000</v>
      </c>
      <c r="G202" s="78">
        <v>0</v>
      </c>
      <c r="H202" s="79">
        <v>0</v>
      </c>
      <c r="I202" s="15">
        <v>0</v>
      </c>
      <c r="J202" s="143">
        <f>+I202/F202</f>
        <v>0</v>
      </c>
      <c r="K202" s="78">
        <v>0</v>
      </c>
      <c r="L202" s="80">
        <v>0</v>
      </c>
      <c r="M202" s="80">
        <f>+K202+L202</f>
        <v>0</v>
      </c>
      <c r="N202" s="171">
        <f>+M202/F202</f>
        <v>0</v>
      </c>
      <c r="O202" s="15">
        <f>+F202-M202</f>
        <v>139975000</v>
      </c>
      <c r="P202" s="77"/>
      <c r="Q202" s="6" t="str">
        <f t="shared" ref="Q202" si="116">IF(M202&lt;=I202,"OKE","Salah")</f>
        <v>OKE</v>
      </c>
      <c r="R202" s="6"/>
    </row>
    <row r="203" spans="1:19" ht="15" customHeight="1" x14ac:dyDescent="0.2">
      <c r="A203" s="74"/>
      <c r="B203" s="74"/>
      <c r="C203" s="83"/>
      <c r="D203" s="15"/>
      <c r="E203" s="17"/>
      <c r="F203" s="17"/>
      <c r="G203" s="78"/>
      <c r="H203" s="79"/>
      <c r="I203" s="80"/>
      <c r="J203" s="86"/>
      <c r="K203" s="78"/>
      <c r="L203" s="76"/>
      <c r="M203" s="76"/>
      <c r="N203" s="86"/>
      <c r="O203" s="10"/>
      <c r="P203" s="77"/>
      <c r="Q203" s="6"/>
      <c r="R203" s="6"/>
    </row>
    <row r="204" spans="1:19" ht="26.25" customHeight="1" x14ac:dyDescent="0.2">
      <c r="A204" s="74">
        <v>2</v>
      </c>
      <c r="B204" s="28" t="s">
        <v>165</v>
      </c>
      <c r="C204" s="304" t="s">
        <v>317</v>
      </c>
      <c r="D204" s="13">
        <v>25000000</v>
      </c>
      <c r="E204" s="14"/>
      <c r="F204" s="14">
        <f>+D204+E204</f>
        <v>25000000</v>
      </c>
      <c r="G204" s="78"/>
      <c r="H204" s="79"/>
      <c r="I204" s="15">
        <f>+G204+H204</f>
        <v>0</v>
      </c>
      <c r="J204" s="143">
        <f>+I204/F204</f>
        <v>0</v>
      </c>
      <c r="K204" s="78"/>
      <c r="L204" s="80"/>
      <c r="M204" s="80">
        <f>+K204+L204</f>
        <v>0</v>
      </c>
      <c r="N204" s="171">
        <f>+M204/F204</f>
        <v>0</v>
      </c>
      <c r="O204" s="15">
        <f>+F204-M204</f>
        <v>25000000</v>
      </c>
      <c r="P204" s="77"/>
      <c r="Q204" s="6" t="str">
        <f t="shared" ref="Q204" si="117">IF(M204&lt;=I204,"OKE","Salah")</f>
        <v>OKE</v>
      </c>
      <c r="R204" s="6"/>
    </row>
    <row r="205" spans="1:19" ht="15" customHeight="1" x14ac:dyDescent="0.2">
      <c r="A205" s="74"/>
      <c r="B205" s="28"/>
      <c r="C205" s="304"/>
      <c r="D205" s="13"/>
      <c r="E205" s="14"/>
      <c r="F205" s="14"/>
      <c r="G205" s="78"/>
      <c r="H205" s="79"/>
      <c r="I205" s="15"/>
      <c r="J205" s="143"/>
      <c r="K205" s="78"/>
      <c r="L205" s="80"/>
      <c r="M205" s="80"/>
      <c r="N205" s="171"/>
      <c r="O205" s="15"/>
      <c r="P205" s="77"/>
      <c r="Q205" s="6"/>
      <c r="R205" s="6"/>
    </row>
    <row r="206" spans="1:19" ht="15" customHeight="1" x14ac:dyDescent="0.2">
      <c r="A206" s="81"/>
      <c r="B206" s="81"/>
      <c r="C206" s="23" t="s">
        <v>172</v>
      </c>
      <c r="D206" s="24">
        <f>+D202+D204</f>
        <v>164975000</v>
      </c>
      <c r="E206" s="24">
        <f t="shared" ref="E206" si="118">+E202+E204</f>
        <v>0</v>
      </c>
      <c r="F206" s="24">
        <f>+D206+E206</f>
        <v>164975000</v>
      </c>
      <c r="G206" s="24">
        <f t="shared" ref="G206:H206" si="119">+G202+G204</f>
        <v>0</v>
      </c>
      <c r="H206" s="24">
        <f t="shared" si="119"/>
        <v>0</v>
      </c>
      <c r="I206" s="24">
        <f>+G206+H206</f>
        <v>0</v>
      </c>
      <c r="J206" s="175">
        <f>+I206/F206</f>
        <v>0</v>
      </c>
      <c r="K206" s="24">
        <f t="shared" ref="K206:L206" si="120">+K202+K204</f>
        <v>0</v>
      </c>
      <c r="L206" s="24">
        <f t="shared" si="120"/>
        <v>0</v>
      </c>
      <c r="M206" s="24">
        <f>+K206+L206</f>
        <v>0</v>
      </c>
      <c r="N206" s="172">
        <f>+M206/F206</f>
        <v>0</v>
      </c>
      <c r="O206" s="24">
        <f>+F206-M206</f>
        <v>164975000</v>
      </c>
      <c r="P206" s="77"/>
      <c r="Q206" s="6" t="str">
        <f t="shared" ref="Q206" si="121">IF(M206&lt;=I206,"OKE","Salah")</f>
        <v>OKE</v>
      </c>
      <c r="R206" s="6"/>
    </row>
    <row r="207" spans="1:19" ht="14.1" customHeight="1" x14ac:dyDescent="0.2">
      <c r="A207" s="74"/>
      <c r="B207" s="28"/>
      <c r="C207" s="83"/>
      <c r="D207" s="13"/>
      <c r="E207" s="14"/>
      <c r="F207" s="14"/>
      <c r="G207" s="78"/>
      <c r="H207" s="79"/>
      <c r="I207" s="15"/>
      <c r="J207" s="143"/>
      <c r="K207" s="78"/>
      <c r="L207" s="80"/>
      <c r="M207" s="80"/>
      <c r="N207" s="171"/>
      <c r="O207" s="15"/>
      <c r="P207" s="77"/>
      <c r="Q207" s="6"/>
      <c r="R207" s="6"/>
    </row>
    <row r="208" spans="1:19" s="77" customFormat="1" ht="14.1" customHeight="1" x14ac:dyDescent="0.2">
      <c r="A208" s="212"/>
      <c r="B208" s="7" t="s">
        <v>160</v>
      </c>
      <c r="C208" s="208" t="s">
        <v>159</v>
      </c>
      <c r="D208" s="178">
        <f>SUM(D210:D218)</f>
        <v>5266450000</v>
      </c>
      <c r="E208" s="221"/>
      <c r="F208" s="221">
        <f>+D208+E208</f>
        <v>5266450000</v>
      </c>
      <c r="G208" s="178">
        <f t="shared" ref="G208:H208" si="122">SUM(G210:G218)</f>
        <v>0</v>
      </c>
      <c r="H208" s="178">
        <f t="shared" si="122"/>
        <v>0</v>
      </c>
      <c r="I208" s="10">
        <f>+G208+H208</f>
        <v>0</v>
      </c>
      <c r="J208" s="168">
        <f>+I208/F208</f>
        <v>0</v>
      </c>
      <c r="K208" s="178">
        <f t="shared" ref="K208:L208" si="123">SUM(K210:K218)</f>
        <v>0</v>
      </c>
      <c r="L208" s="178">
        <f t="shared" si="123"/>
        <v>0</v>
      </c>
      <c r="M208" s="10">
        <f>+K208+L208</f>
        <v>0</v>
      </c>
      <c r="N208" s="169">
        <f>+M208/F208</f>
        <v>0</v>
      </c>
      <c r="O208" s="10">
        <f>+F208-M208</f>
        <v>5266450000</v>
      </c>
      <c r="Q208" s="6" t="str">
        <f t="shared" si="112"/>
        <v>OKE</v>
      </c>
      <c r="R208" s="6"/>
      <c r="S208" s="69"/>
    </row>
    <row r="209" spans="1:19" s="77" customFormat="1" ht="14.1" customHeight="1" x14ac:dyDescent="0.2">
      <c r="A209" s="74"/>
      <c r="B209" s="74"/>
      <c r="C209" s="76"/>
      <c r="D209" s="15"/>
      <c r="E209" s="17"/>
      <c r="F209" s="17"/>
      <c r="G209" s="78"/>
      <c r="H209" s="79"/>
      <c r="I209" s="80"/>
      <c r="J209" s="86"/>
      <c r="K209" s="78"/>
      <c r="L209" s="76"/>
      <c r="M209" s="76"/>
      <c r="N209" s="86"/>
      <c r="O209" s="10"/>
      <c r="Q209" s="6"/>
      <c r="R209" s="6"/>
      <c r="S209" s="69"/>
    </row>
    <row r="210" spans="1:19" s="77" customFormat="1" ht="15" customHeight="1" x14ac:dyDescent="0.2">
      <c r="A210" s="74">
        <v>3</v>
      </c>
      <c r="B210" s="28" t="s">
        <v>164</v>
      </c>
      <c r="C210" s="83" t="s">
        <v>161</v>
      </c>
      <c r="D210" s="13">
        <v>1660000000</v>
      </c>
      <c r="E210" s="14"/>
      <c r="F210" s="14">
        <f>+D210+E210</f>
        <v>1660000000</v>
      </c>
      <c r="G210" s="78">
        <v>0</v>
      </c>
      <c r="H210" s="79">
        <v>0</v>
      </c>
      <c r="I210" s="15">
        <f>+G210+H210</f>
        <v>0</v>
      </c>
      <c r="J210" s="143">
        <f>+I210/F210</f>
        <v>0</v>
      </c>
      <c r="K210" s="78">
        <v>0</v>
      </c>
      <c r="L210" s="80">
        <v>0</v>
      </c>
      <c r="M210" s="80">
        <f>+K210+L210</f>
        <v>0</v>
      </c>
      <c r="N210" s="171">
        <f>+M210/F210</f>
        <v>0</v>
      </c>
      <c r="O210" s="15">
        <f>+F210-M210</f>
        <v>1660000000</v>
      </c>
      <c r="Q210" s="6" t="str">
        <f t="shared" si="112"/>
        <v>OKE</v>
      </c>
      <c r="R210" s="6"/>
      <c r="S210" s="68"/>
    </row>
    <row r="211" spans="1:19" s="77" customFormat="1" ht="14.1" customHeight="1" x14ac:dyDescent="0.2">
      <c r="A211" s="74"/>
      <c r="B211" s="74"/>
      <c r="C211" s="83"/>
      <c r="D211" s="15"/>
      <c r="E211" s="17"/>
      <c r="F211" s="17"/>
      <c r="G211" s="78"/>
      <c r="H211" s="79"/>
      <c r="I211" s="15">
        <f>+G211+H211</f>
        <v>0</v>
      </c>
      <c r="J211" s="86"/>
      <c r="K211" s="78"/>
      <c r="L211" s="76"/>
      <c r="M211" s="76"/>
      <c r="N211" s="86"/>
      <c r="O211" s="10"/>
      <c r="Q211" s="6"/>
      <c r="R211" s="6"/>
      <c r="S211" s="68"/>
    </row>
    <row r="212" spans="1:19" s="77" customFormat="1" ht="15.75" customHeight="1" x14ac:dyDescent="0.2">
      <c r="A212" s="74">
        <v>4</v>
      </c>
      <c r="B212" s="28" t="s">
        <v>165</v>
      </c>
      <c r="C212" s="83" t="s">
        <v>162</v>
      </c>
      <c r="D212" s="13">
        <v>575000000</v>
      </c>
      <c r="E212" s="14"/>
      <c r="F212" s="14">
        <f>+D212+E212</f>
        <v>575000000</v>
      </c>
      <c r="G212" s="78"/>
      <c r="H212" s="79">
        <v>0</v>
      </c>
      <c r="I212" s="15">
        <f>+G212+H212</f>
        <v>0</v>
      </c>
      <c r="J212" s="143">
        <f>+I212/F212</f>
        <v>0</v>
      </c>
      <c r="K212" s="78"/>
      <c r="L212" s="80">
        <v>0</v>
      </c>
      <c r="M212" s="80">
        <f>+K212+L212</f>
        <v>0</v>
      </c>
      <c r="N212" s="171">
        <f>+M212/F212</f>
        <v>0</v>
      </c>
      <c r="O212" s="15">
        <f>+F212-M212</f>
        <v>575000000</v>
      </c>
      <c r="Q212" s="6" t="str">
        <f t="shared" si="112"/>
        <v>OKE</v>
      </c>
      <c r="R212" s="6"/>
      <c r="S212" s="69"/>
    </row>
    <row r="213" spans="1:19" s="77" customFormat="1" ht="14.1" customHeight="1" x14ac:dyDescent="0.2">
      <c r="A213" s="74"/>
      <c r="B213" s="74"/>
      <c r="C213" s="76"/>
      <c r="D213" s="15"/>
      <c r="E213" s="17"/>
      <c r="F213" s="17"/>
      <c r="G213" s="78"/>
      <c r="H213" s="79"/>
      <c r="I213" s="80"/>
      <c r="J213" s="86"/>
      <c r="K213" s="78"/>
      <c r="L213" s="76"/>
      <c r="M213" s="76"/>
      <c r="N213" s="86"/>
      <c r="O213" s="10"/>
      <c r="Q213" s="6"/>
      <c r="R213" s="6"/>
      <c r="S213" s="68"/>
    </row>
    <row r="214" spans="1:19" s="77" customFormat="1" ht="17.25" customHeight="1" x14ac:dyDescent="0.2">
      <c r="A214" s="74">
        <v>5</v>
      </c>
      <c r="B214" s="28" t="s">
        <v>166</v>
      </c>
      <c r="C214" s="83" t="s">
        <v>163</v>
      </c>
      <c r="D214" s="13">
        <v>270000000</v>
      </c>
      <c r="E214" s="14"/>
      <c r="F214" s="14">
        <f>+D214+E214</f>
        <v>270000000</v>
      </c>
      <c r="G214" s="78"/>
      <c r="H214" s="79">
        <v>0</v>
      </c>
      <c r="I214" s="15">
        <f>+G214+H214</f>
        <v>0</v>
      </c>
      <c r="J214" s="143">
        <f>+I214/F214</f>
        <v>0</v>
      </c>
      <c r="K214" s="78"/>
      <c r="L214" s="80">
        <v>0</v>
      </c>
      <c r="M214" s="80">
        <f>+K214+L214</f>
        <v>0</v>
      </c>
      <c r="N214" s="171">
        <f>+M214/F214</f>
        <v>0</v>
      </c>
      <c r="O214" s="15">
        <f>+F214-M214</f>
        <v>270000000</v>
      </c>
      <c r="Q214" s="6" t="str">
        <f t="shared" si="112"/>
        <v>OKE</v>
      </c>
      <c r="R214" s="6"/>
      <c r="S214" s="68"/>
    </row>
    <row r="215" spans="1:19" s="77" customFormat="1" ht="14.1" customHeight="1" x14ac:dyDescent="0.2">
      <c r="A215" s="74"/>
      <c r="B215" s="28"/>
      <c r="C215" s="83"/>
      <c r="D215" s="13"/>
      <c r="E215" s="14"/>
      <c r="F215" s="14"/>
      <c r="G215" s="78"/>
      <c r="H215" s="79"/>
      <c r="I215" s="15"/>
      <c r="J215" s="143"/>
      <c r="K215" s="78"/>
      <c r="L215" s="80"/>
      <c r="M215" s="80"/>
      <c r="N215" s="171"/>
      <c r="O215" s="15"/>
      <c r="Q215" s="6"/>
      <c r="R215" s="6"/>
      <c r="S215" s="68"/>
    </row>
    <row r="216" spans="1:19" s="77" customFormat="1" ht="17.25" customHeight="1" x14ac:dyDescent="0.2">
      <c r="A216" s="74">
        <v>6</v>
      </c>
      <c r="B216" s="28" t="s">
        <v>168</v>
      </c>
      <c r="C216" s="83" t="s">
        <v>167</v>
      </c>
      <c r="D216" s="13">
        <v>1800000000</v>
      </c>
      <c r="E216" s="14"/>
      <c r="F216" s="14">
        <f>+D216+E216</f>
        <v>1800000000</v>
      </c>
      <c r="G216" s="78"/>
      <c r="H216" s="79">
        <v>0</v>
      </c>
      <c r="I216" s="15">
        <f>+G216+H216</f>
        <v>0</v>
      </c>
      <c r="J216" s="143">
        <f>+I216/F216</f>
        <v>0</v>
      </c>
      <c r="K216" s="78"/>
      <c r="L216" s="80">
        <v>0</v>
      </c>
      <c r="M216" s="80">
        <f>+K216+L216</f>
        <v>0</v>
      </c>
      <c r="N216" s="171">
        <f>+M216/F216</f>
        <v>0</v>
      </c>
      <c r="O216" s="15">
        <f>+F216-M216</f>
        <v>1800000000</v>
      </c>
      <c r="Q216" s="6" t="str">
        <f t="shared" si="112"/>
        <v>OKE</v>
      </c>
      <c r="R216" s="6"/>
      <c r="S216" s="68"/>
    </row>
    <row r="217" spans="1:19" s="77" customFormat="1" ht="14.1" customHeight="1" x14ac:dyDescent="0.2">
      <c r="A217" s="74"/>
      <c r="B217" s="28"/>
      <c r="C217" s="83"/>
      <c r="D217" s="13"/>
      <c r="E217" s="14"/>
      <c r="F217" s="14"/>
      <c r="G217" s="78"/>
      <c r="H217" s="79"/>
      <c r="I217" s="15"/>
      <c r="J217" s="143"/>
      <c r="K217" s="78"/>
      <c r="L217" s="80"/>
      <c r="M217" s="80"/>
      <c r="N217" s="171"/>
      <c r="O217" s="15"/>
      <c r="Q217" s="6"/>
      <c r="R217" s="6"/>
      <c r="S217" s="68"/>
    </row>
    <row r="218" spans="1:19" s="77" customFormat="1" ht="16.5" customHeight="1" x14ac:dyDescent="0.2">
      <c r="A218" s="74">
        <v>7</v>
      </c>
      <c r="B218" s="28" t="s">
        <v>170</v>
      </c>
      <c r="C218" s="83" t="s">
        <v>169</v>
      </c>
      <c r="D218" s="13">
        <v>961450000</v>
      </c>
      <c r="E218" s="14"/>
      <c r="F218" s="14">
        <f>+D218+E218</f>
        <v>961450000</v>
      </c>
      <c r="G218" s="78"/>
      <c r="H218" s="79">
        <v>0</v>
      </c>
      <c r="I218" s="15">
        <f>+G218+H218</f>
        <v>0</v>
      </c>
      <c r="J218" s="143">
        <f>+I218/F218</f>
        <v>0</v>
      </c>
      <c r="K218" s="78"/>
      <c r="L218" s="80">
        <v>0</v>
      </c>
      <c r="M218" s="80">
        <f>+K218+L218</f>
        <v>0</v>
      </c>
      <c r="N218" s="171">
        <f>+M218/F218</f>
        <v>0</v>
      </c>
      <c r="O218" s="15">
        <f>+F218-M218</f>
        <v>961450000</v>
      </c>
      <c r="Q218" s="6" t="str">
        <f t="shared" si="112"/>
        <v>OKE</v>
      </c>
      <c r="R218" s="6"/>
      <c r="S218" s="68"/>
    </row>
    <row r="219" spans="1:19" s="77" customFormat="1" ht="14.1" customHeight="1" x14ac:dyDescent="0.2">
      <c r="A219" s="74"/>
      <c r="B219" s="28"/>
      <c r="C219" s="83"/>
      <c r="D219" s="13"/>
      <c r="E219" s="14"/>
      <c r="F219" s="14"/>
      <c r="G219" s="78"/>
      <c r="H219" s="79"/>
      <c r="I219" s="15"/>
      <c r="J219" s="143"/>
      <c r="K219" s="78"/>
      <c r="L219" s="80"/>
      <c r="M219" s="80"/>
      <c r="N219" s="171"/>
      <c r="O219" s="15"/>
      <c r="Q219" s="6"/>
      <c r="R219" s="6"/>
      <c r="S219" s="68"/>
    </row>
    <row r="220" spans="1:19" ht="14.1" customHeight="1" x14ac:dyDescent="0.2">
      <c r="A220" s="81"/>
      <c r="B220" s="81"/>
      <c r="C220" s="23" t="s">
        <v>172</v>
      </c>
      <c r="D220" s="24">
        <f>SUM(D210:D218)</f>
        <v>5266450000</v>
      </c>
      <c r="E220" s="24">
        <f t="shared" ref="E220" si="124">SUM(E210:E218)</f>
        <v>0</v>
      </c>
      <c r="F220" s="24">
        <f>+D220+E220</f>
        <v>5266450000</v>
      </c>
      <c r="G220" s="24">
        <f>SUM(G210:G218)</f>
        <v>0</v>
      </c>
      <c r="H220" s="24">
        <f>SUM(H210:H218)</f>
        <v>0</v>
      </c>
      <c r="I220" s="24">
        <f>+G220+H220</f>
        <v>0</v>
      </c>
      <c r="J220" s="175">
        <f>+I220/F220</f>
        <v>0</v>
      </c>
      <c r="K220" s="24">
        <f>SUM(K208:K219)</f>
        <v>0</v>
      </c>
      <c r="L220" s="24">
        <f>SUM(L210:L219)</f>
        <v>0</v>
      </c>
      <c r="M220" s="24">
        <f>+K220+L220</f>
        <v>0</v>
      </c>
      <c r="N220" s="172">
        <f>+M220/F220</f>
        <v>0</v>
      </c>
      <c r="O220" s="24">
        <f>+F220-M220</f>
        <v>5266450000</v>
      </c>
      <c r="P220" s="77"/>
      <c r="Q220" s="6" t="str">
        <f t="shared" si="112"/>
        <v>OKE</v>
      </c>
      <c r="R220" s="6"/>
    </row>
    <row r="221" spans="1:19" ht="14.1" customHeight="1" x14ac:dyDescent="0.2">
      <c r="A221" s="74"/>
      <c r="B221" s="74"/>
      <c r="C221" s="76"/>
      <c r="D221" s="15"/>
      <c r="E221" s="15"/>
      <c r="F221" s="15"/>
      <c r="G221" s="80"/>
      <c r="H221" s="79"/>
      <c r="I221" s="80"/>
      <c r="J221" s="86"/>
      <c r="K221" s="80"/>
      <c r="L221" s="76"/>
      <c r="M221" s="76"/>
      <c r="N221" s="86"/>
      <c r="O221" s="10"/>
      <c r="P221" s="77"/>
      <c r="Q221" s="6"/>
      <c r="R221" s="6"/>
    </row>
    <row r="222" spans="1:19" ht="14.1" customHeight="1" x14ac:dyDescent="0.2">
      <c r="A222" s="206"/>
      <c r="B222" s="206" t="s">
        <v>173</v>
      </c>
      <c r="C222" s="255" t="s">
        <v>177</v>
      </c>
      <c r="D222" s="209">
        <f>D228</f>
        <v>1022000000</v>
      </c>
      <c r="E222" s="10">
        <f>E228</f>
        <v>0</v>
      </c>
      <c r="F222" s="10">
        <f>+D222+E222</f>
        <v>1022000000</v>
      </c>
      <c r="G222" s="10">
        <f>G228</f>
        <v>0</v>
      </c>
      <c r="H222" s="10">
        <f>H228</f>
        <v>95983138</v>
      </c>
      <c r="I222" s="10">
        <f>+G222+H222</f>
        <v>95983138</v>
      </c>
      <c r="J222" s="168">
        <f>+I222/F222</f>
        <v>9.3916964774951081E-2</v>
      </c>
      <c r="K222" s="10">
        <f>K228</f>
        <v>0</v>
      </c>
      <c r="L222" s="10">
        <f>L228</f>
        <v>95983138</v>
      </c>
      <c r="M222" s="10">
        <f>+K222+L222</f>
        <v>95983138</v>
      </c>
      <c r="N222" s="169">
        <f>+M222/F222</f>
        <v>9.3916964774951081E-2</v>
      </c>
      <c r="O222" s="10">
        <f>+F222-M222</f>
        <v>926016862</v>
      </c>
      <c r="P222" s="77"/>
      <c r="Q222" s="6" t="str">
        <f t="shared" si="112"/>
        <v>OKE</v>
      </c>
      <c r="R222" s="6"/>
    </row>
    <row r="223" spans="1:19" ht="14.1" customHeight="1" x14ac:dyDescent="0.2">
      <c r="A223" s="74"/>
      <c r="B223" s="74"/>
      <c r="C223" s="76"/>
      <c r="D223" s="15"/>
      <c r="E223" s="15"/>
      <c r="F223" s="15"/>
      <c r="G223" s="80"/>
      <c r="H223" s="79"/>
      <c r="I223" s="80"/>
      <c r="J223" s="86"/>
      <c r="K223" s="80"/>
      <c r="L223" s="76"/>
      <c r="M223" s="76"/>
      <c r="N223" s="86"/>
      <c r="O223" s="10"/>
      <c r="P223" s="77"/>
      <c r="Q223" s="6"/>
      <c r="R223" s="6"/>
    </row>
    <row r="224" spans="1:19" ht="14.1" customHeight="1" x14ac:dyDescent="0.2">
      <c r="A224" s="74">
        <v>8</v>
      </c>
      <c r="B224" s="28" t="s">
        <v>174</v>
      </c>
      <c r="C224" s="27" t="s">
        <v>60</v>
      </c>
      <c r="D224" s="13">
        <v>22000000</v>
      </c>
      <c r="E224" s="14"/>
      <c r="F224" s="14">
        <f>+D224+E224</f>
        <v>22000000</v>
      </c>
      <c r="G224" s="78">
        <v>0</v>
      </c>
      <c r="H224" s="79">
        <v>0</v>
      </c>
      <c r="I224" s="15">
        <f t="shared" ref="I224:I226" si="125">+G224+H224</f>
        <v>0</v>
      </c>
      <c r="J224" s="143">
        <f>+I224/F224</f>
        <v>0</v>
      </c>
      <c r="K224" s="78">
        <v>0</v>
      </c>
      <c r="L224" s="80">
        <v>0</v>
      </c>
      <c r="M224" s="80">
        <f t="shared" ref="M224" si="126">+K224+L224</f>
        <v>0</v>
      </c>
      <c r="N224" s="171">
        <f>+M224/F224</f>
        <v>0</v>
      </c>
      <c r="O224" s="15">
        <f>+F224-M224</f>
        <v>22000000</v>
      </c>
      <c r="P224" s="77"/>
      <c r="Q224" s="6" t="str">
        <f t="shared" si="112"/>
        <v>OKE</v>
      </c>
      <c r="R224" s="6"/>
    </row>
    <row r="225" spans="1:18" ht="14.1" customHeight="1" x14ac:dyDescent="0.2">
      <c r="A225" s="74"/>
      <c r="B225" s="28"/>
      <c r="C225" s="27"/>
      <c r="D225" s="13"/>
      <c r="E225" s="14"/>
      <c r="F225" s="14"/>
      <c r="G225" s="78"/>
      <c r="H225" s="79"/>
      <c r="I225" s="15"/>
      <c r="J225" s="143"/>
      <c r="K225" s="78"/>
      <c r="L225" s="80"/>
      <c r="M225" s="80"/>
      <c r="N225" s="171"/>
      <c r="O225" s="15"/>
      <c r="P225" s="77"/>
      <c r="Q225" s="6"/>
      <c r="R225" s="6"/>
    </row>
    <row r="226" spans="1:18" ht="14.1" customHeight="1" x14ac:dyDescent="0.2">
      <c r="A226" s="74">
        <v>9</v>
      </c>
      <c r="B226" s="28" t="s">
        <v>175</v>
      </c>
      <c r="C226" s="276" t="s">
        <v>176</v>
      </c>
      <c r="D226" s="13">
        <v>1000000000</v>
      </c>
      <c r="E226" s="14"/>
      <c r="F226" s="14">
        <f>+D226+E226</f>
        <v>1000000000</v>
      </c>
      <c r="G226" s="78">
        <v>0</v>
      </c>
      <c r="H226" s="79">
        <f>84360332+2823806+8799000</f>
        <v>95983138</v>
      </c>
      <c r="I226" s="15">
        <f t="shared" si="125"/>
        <v>95983138</v>
      </c>
      <c r="J226" s="143">
        <f>+I226/F226</f>
        <v>9.5983137999999996E-2</v>
      </c>
      <c r="K226" s="78">
        <v>0</v>
      </c>
      <c r="L226" s="80">
        <f>84360332+2823806+8799000</f>
        <v>95983138</v>
      </c>
      <c r="M226" s="80">
        <f>+K226+L226</f>
        <v>95983138</v>
      </c>
      <c r="N226" s="171">
        <f>+M226/F226</f>
        <v>9.5983137999999996E-2</v>
      </c>
      <c r="O226" s="15">
        <f>+F226-M226</f>
        <v>904016862</v>
      </c>
      <c r="P226" s="77"/>
      <c r="Q226" s="6" t="str">
        <f>IF(M226&lt;=I226,"OKE","Salah")</f>
        <v>OKE</v>
      </c>
      <c r="R226" s="6"/>
    </row>
    <row r="227" spans="1:18" ht="14.1" customHeight="1" x14ac:dyDescent="0.2">
      <c r="A227" s="74"/>
      <c r="B227" s="29"/>
      <c r="C227" s="27"/>
      <c r="D227" s="13"/>
      <c r="E227" s="14"/>
      <c r="F227" s="14"/>
      <c r="G227" s="78"/>
      <c r="H227" s="79"/>
      <c r="I227" s="15"/>
      <c r="J227" s="143"/>
      <c r="K227" s="80"/>
      <c r="L227" s="80"/>
      <c r="M227" s="80"/>
      <c r="N227" s="171"/>
      <c r="O227" s="15"/>
      <c r="P227" s="77"/>
      <c r="Q227" s="6"/>
      <c r="R227" s="6"/>
    </row>
    <row r="228" spans="1:18" ht="14.1" customHeight="1" x14ac:dyDescent="0.2">
      <c r="A228" s="81"/>
      <c r="B228" s="81"/>
      <c r="C228" s="23" t="s">
        <v>172</v>
      </c>
      <c r="D228" s="24">
        <f>+D224+D226</f>
        <v>1022000000</v>
      </c>
      <c r="E228" s="24">
        <f>SUM(E224:E227)</f>
        <v>0</v>
      </c>
      <c r="F228" s="24">
        <f>SUM(F224:F227)</f>
        <v>1022000000</v>
      </c>
      <c r="G228" s="24">
        <f t="shared" ref="G228:H228" si="127">+G224+G226</f>
        <v>0</v>
      </c>
      <c r="H228" s="24">
        <f t="shared" si="127"/>
        <v>95983138</v>
      </c>
      <c r="I228" s="24">
        <f>+G228+H228</f>
        <v>95983138</v>
      </c>
      <c r="J228" s="175">
        <f>+I228/F228</f>
        <v>9.3916964774951081E-2</v>
      </c>
      <c r="K228" s="24">
        <f>SUM(K224:K227)</f>
        <v>0</v>
      </c>
      <c r="L228" s="24">
        <f>SUM(L224:L227)</f>
        <v>95983138</v>
      </c>
      <c r="M228" s="24">
        <f>+K228+L228</f>
        <v>95983138</v>
      </c>
      <c r="N228" s="172">
        <f>+M228/F228</f>
        <v>9.3916964774951081E-2</v>
      </c>
      <c r="O228" s="24">
        <f>+F228-M228</f>
        <v>926016862</v>
      </c>
      <c r="P228" s="77"/>
      <c r="Q228" s="6" t="str">
        <f t="shared" si="112"/>
        <v>OKE</v>
      </c>
      <c r="R228" s="6"/>
    </row>
    <row r="229" spans="1:18" ht="15" customHeight="1" x14ac:dyDescent="0.2">
      <c r="A229" s="87"/>
      <c r="B229" s="87"/>
      <c r="C229" s="148"/>
      <c r="D229" s="149"/>
      <c r="E229" s="149"/>
      <c r="F229" s="149"/>
      <c r="G229" s="149"/>
      <c r="H229" s="149"/>
      <c r="I229" s="149"/>
      <c r="J229" s="177"/>
      <c r="K229" s="149"/>
      <c r="L229" s="149"/>
      <c r="M229" s="149"/>
      <c r="N229" s="174"/>
      <c r="O229" s="149"/>
      <c r="P229" s="77"/>
      <c r="Q229" s="6"/>
      <c r="R229" s="6"/>
    </row>
    <row r="230" spans="1:18" ht="15" customHeight="1" x14ac:dyDescent="0.2">
      <c r="A230" s="206"/>
      <c r="B230" s="206" t="s">
        <v>179</v>
      </c>
      <c r="C230" s="282" t="s">
        <v>178</v>
      </c>
      <c r="D230" s="209">
        <f>+D238</f>
        <v>2410000000</v>
      </c>
      <c r="E230" s="10">
        <f t="shared" ref="E230:F230" si="128">+E238</f>
        <v>0</v>
      </c>
      <c r="F230" s="10">
        <f t="shared" si="128"/>
        <v>2410000000</v>
      </c>
      <c r="G230" s="10">
        <f>+G238</f>
        <v>0</v>
      </c>
      <c r="H230" s="11">
        <f>+H238</f>
        <v>0</v>
      </c>
      <c r="I230" s="10">
        <f>+G230+H230</f>
        <v>0</v>
      </c>
      <c r="J230" s="168">
        <f>+I230/F230</f>
        <v>0</v>
      </c>
      <c r="K230" s="10">
        <f>+K238</f>
        <v>0</v>
      </c>
      <c r="L230" s="10">
        <f>+L238</f>
        <v>0</v>
      </c>
      <c r="M230" s="10">
        <f>+K230+L230</f>
        <v>0</v>
      </c>
      <c r="N230" s="169">
        <f>+M230/F230</f>
        <v>0</v>
      </c>
      <c r="O230" s="10">
        <f>+F230-M230</f>
        <v>2410000000</v>
      </c>
      <c r="P230" s="77"/>
      <c r="Q230" s="6" t="str">
        <f t="shared" ref="Q230:Q238" si="129">IF(M230&lt;=I230,"OKE","Salah")</f>
        <v>OKE</v>
      </c>
      <c r="R230" s="6"/>
    </row>
    <row r="231" spans="1:18" ht="15" customHeight="1" x14ac:dyDescent="0.2">
      <c r="A231" s="74"/>
      <c r="B231" s="74"/>
      <c r="C231" s="76"/>
      <c r="D231" s="15"/>
      <c r="E231" s="15"/>
      <c r="F231" s="15"/>
      <c r="G231" s="80"/>
      <c r="H231" s="79"/>
      <c r="I231" s="80"/>
      <c r="J231" s="86"/>
      <c r="K231" s="80"/>
      <c r="L231" s="76"/>
      <c r="M231" s="76"/>
      <c r="N231" s="86"/>
      <c r="O231" s="10"/>
      <c r="P231" s="77"/>
      <c r="Q231" s="6"/>
      <c r="R231" s="6"/>
    </row>
    <row r="232" spans="1:18" ht="28.5" customHeight="1" x14ac:dyDescent="0.2">
      <c r="A232" s="74">
        <v>10</v>
      </c>
      <c r="B232" s="207" t="s">
        <v>181</v>
      </c>
      <c r="C232" s="276" t="s">
        <v>180</v>
      </c>
      <c r="D232" s="213">
        <v>910000000</v>
      </c>
      <c r="E232" s="14"/>
      <c r="F232" s="14">
        <f>+D232+E232</f>
        <v>910000000</v>
      </c>
      <c r="G232" s="78">
        <v>0</v>
      </c>
      <c r="H232" s="79">
        <v>0</v>
      </c>
      <c r="I232" s="15">
        <f>+G232+H232</f>
        <v>0</v>
      </c>
      <c r="J232" s="143">
        <f>+I232/F232</f>
        <v>0</v>
      </c>
      <c r="K232" s="78">
        <v>0</v>
      </c>
      <c r="L232" s="80">
        <v>0</v>
      </c>
      <c r="M232" s="80">
        <f>+K232+L232</f>
        <v>0</v>
      </c>
      <c r="N232" s="171">
        <f>+M232/F232</f>
        <v>0</v>
      </c>
      <c r="O232" s="15">
        <f>+F232-M232</f>
        <v>910000000</v>
      </c>
      <c r="P232" s="77"/>
      <c r="Q232" s="6" t="str">
        <f t="shared" ref="Q232" si="130">IF(M232&lt;=I232,"OKE","Salah")</f>
        <v>OKE</v>
      </c>
      <c r="R232" s="6"/>
    </row>
    <row r="233" spans="1:18" ht="12.75" customHeight="1" x14ac:dyDescent="0.2">
      <c r="A233" s="74"/>
      <c r="B233" s="207"/>
      <c r="C233" s="273"/>
      <c r="D233" s="213"/>
      <c r="E233" s="14"/>
      <c r="F233" s="14"/>
      <c r="G233" s="78"/>
      <c r="H233" s="79"/>
      <c r="I233" s="15"/>
      <c r="J233" s="143"/>
      <c r="K233" s="78"/>
      <c r="L233" s="80"/>
      <c r="M233" s="80"/>
      <c r="N233" s="171"/>
      <c r="O233" s="15"/>
      <c r="P233" s="77"/>
      <c r="Q233" s="6"/>
      <c r="R233" s="6"/>
    </row>
    <row r="234" spans="1:18" ht="28.5" customHeight="1" x14ac:dyDescent="0.2">
      <c r="A234" s="74">
        <v>11</v>
      </c>
      <c r="B234" s="220" t="s">
        <v>209</v>
      </c>
      <c r="C234" s="274" t="s">
        <v>208</v>
      </c>
      <c r="D234" s="13">
        <v>1000000000</v>
      </c>
      <c r="E234" s="14"/>
      <c r="F234" s="14">
        <f>E234+D234</f>
        <v>1000000000</v>
      </c>
      <c r="G234" s="78"/>
      <c r="H234" s="79">
        <v>0</v>
      </c>
      <c r="I234" s="15">
        <f>+G234+H234</f>
        <v>0</v>
      </c>
      <c r="J234" s="143">
        <f>+I234/F234</f>
        <v>0</v>
      </c>
      <c r="K234" s="78"/>
      <c r="L234" s="80">
        <v>0</v>
      </c>
      <c r="M234" s="80">
        <f>+K234+L234</f>
        <v>0</v>
      </c>
      <c r="N234" s="171">
        <f>+M234/D234</f>
        <v>0</v>
      </c>
      <c r="O234" s="15">
        <f>+F234-M234</f>
        <v>1000000000</v>
      </c>
      <c r="P234" s="83"/>
      <c r="Q234" s="6" t="str">
        <f t="shared" ref="Q234" si="131">IF(M234&lt;=I234,"OKE","Salah")</f>
        <v>OKE</v>
      </c>
      <c r="R234" s="6"/>
    </row>
    <row r="235" spans="1:18" ht="9.75" customHeight="1" x14ac:dyDescent="0.2">
      <c r="A235" s="74"/>
      <c r="B235" s="218"/>
      <c r="C235" s="25"/>
      <c r="D235" s="13"/>
      <c r="E235" s="14"/>
      <c r="F235" s="14"/>
      <c r="G235" s="78"/>
      <c r="H235" s="79"/>
      <c r="I235" s="15"/>
      <c r="J235" s="143"/>
      <c r="K235" s="78"/>
      <c r="L235" s="80"/>
      <c r="M235" s="80"/>
      <c r="N235" s="171"/>
      <c r="O235" s="15"/>
      <c r="P235" s="83"/>
      <c r="Q235" s="6"/>
      <c r="R235" s="6"/>
    </row>
    <row r="236" spans="1:18" ht="28.5" customHeight="1" x14ac:dyDescent="0.2">
      <c r="A236" s="74">
        <v>12</v>
      </c>
      <c r="B236" s="220" t="s">
        <v>211</v>
      </c>
      <c r="C236" s="275" t="s">
        <v>210</v>
      </c>
      <c r="D236" s="15">
        <v>500000000</v>
      </c>
      <c r="E236" s="15"/>
      <c r="F236" s="14">
        <f>E236+D236</f>
        <v>500000000</v>
      </c>
      <c r="G236" s="80"/>
      <c r="H236" s="79">
        <v>0</v>
      </c>
      <c r="I236" s="15">
        <f>+G236+H236</f>
        <v>0</v>
      </c>
      <c r="J236" s="143">
        <f>+I236/F236</f>
        <v>0</v>
      </c>
      <c r="K236" s="80"/>
      <c r="L236" s="76">
        <v>0</v>
      </c>
      <c r="M236" s="80">
        <f>+K236+L236</f>
        <v>0</v>
      </c>
      <c r="N236" s="171">
        <f>+M236/D236</f>
        <v>0</v>
      </c>
      <c r="O236" s="15">
        <f>+F236-M236</f>
        <v>500000000</v>
      </c>
      <c r="P236" s="83"/>
      <c r="Q236" s="6" t="str">
        <f t="shared" ref="Q236" si="132">IF(M236&lt;=I236,"OKE","Salah")</f>
        <v>OKE</v>
      </c>
      <c r="R236" s="6"/>
    </row>
    <row r="237" spans="1:18" ht="15" customHeight="1" x14ac:dyDescent="0.2">
      <c r="A237" s="74"/>
      <c r="B237" s="207"/>
      <c r="C237" s="273"/>
      <c r="D237" s="213"/>
      <c r="E237" s="14"/>
      <c r="F237" s="14"/>
      <c r="G237" s="78"/>
      <c r="H237" s="79"/>
      <c r="I237" s="15"/>
      <c r="J237" s="143"/>
      <c r="K237" s="78"/>
      <c r="L237" s="80"/>
      <c r="M237" s="80"/>
      <c r="N237" s="171"/>
      <c r="O237" s="15"/>
      <c r="P237" s="77"/>
      <c r="Q237" s="6"/>
      <c r="R237" s="6"/>
    </row>
    <row r="238" spans="1:18" ht="18.75" customHeight="1" x14ac:dyDescent="0.2">
      <c r="A238" s="139"/>
      <c r="B238" s="139"/>
      <c r="C238" s="140" t="s">
        <v>172</v>
      </c>
      <c r="D238" s="141">
        <f>+D232+D234+D236</f>
        <v>2410000000</v>
      </c>
      <c r="E238" s="141">
        <f>+E232</f>
        <v>0</v>
      </c>
      <c r="F238" s="141">
        <f>+D238+E238</f>
        <v>2410000000</v>
      </c>
      <c r="G238" s="141">
        <f>+G232+G234+G236</f>
        <v>0</v>
      </c>
      <c r="H238" s="141">
        <f>+H232+H234+H236</f>
        <v>0</v>
      </c>
      <c r="I238" s="141">
        <f>+G238+H238</f>
        <v>0</v>
      </c>
      <c r="J238" s="176">
        <f>+I238/F238</f>
        <v>0</v>
      </c>
      <c r="K238" s="141">
        <f>+K232+K234+K236</f>
        <v>0</v>
      </c>
      <c r="L238" s="141">
        <f>+L232+L234+L236</f>
        <v>0</v>
      </c>
      <c r="M238" s="141">
        <f>+K238+L238</f>
        <v>0</v>
      </c>
      <c r="N238" s="173">
        <f>+M238/F238</f>
        <v>0</v>
      </c>
      <c r="O238" s="141">
        <f>+F238-M238</f>
        <v>2410000000</v>
      </c>
      <c r="P238" s="77"/>
      <c r="Q238" s="6" t="str">
        <f t="shared" si="129"/>
        <v>OKE</v>
      </c>
      <c r="R238" s="6"/>
    </row>
    <row r="239" spans="1:18" ht="15.95" customHeight="1" x14ac:dyDescent="0.2">
      <c r="A239" s="87"/>
      <c r="B239" s="182"/>
      <c r="C239" s="4"/>
      <c r="D239" s="183"/>
      <c r="E239" s="183"/>
      <c r="F239" s="183"/>
      <c r="G239" s="256"/>
      <c r="H239" s="257"/>
      <c r="I239" s="184"/>
      <c r="J239" s="185"/>
      <c r="K239" s="256"/>
      <c r="L239" s="256"/>
      <c r="M239" s="256"/>
      <c r="N239" s="186"/>
      <c r="O239" s="184"/>
      <c r="P239" s="77"/>
      <c r="Q239" s="6"/>
      <c r="R239" s="6"/>
    </row>
    <row r="240" spans="1:18" ht="15.95" customHeight="1" x14ac:dyDescent="0.2">
      <c r="A240" s="74"/>
      <c r="B240" s="214" t="s">
        <v>304</v>
      </c>
      <c r="C240" s="344" t="s">
        <v>277</v>
      </c>
      <c r="D240" s="178">
        <f>+D242</f>
        <v>1017000000</v>
      </c>
      <c r="E240" s="14"/>
      <c r="F240" s="221">
        <f>+D240+E240</f>
        <v>1017000000</v>
      </c>
      <c r="G240" s="178">
        <f t="shared" ref="G240:H240" si="133">+G242+G250</f>
        <v>0</v>
      </c>
      <c r="H240" s="178">
        <f t="shared" si="133"/>
        <v>72037500</v>
      </c>
      <c r="I240" s="10">
        <f>+G240+H240</f>
        <v>72037500</v>
      </c>
      <c r="J240" s="168">
        <f>+I240/F240</f>
        <v>7.0833333333333331E-2</v>
      </c>
      <c r="K240" s="178">
        <f t="shared" ref="K240:L240" si="134">+K242+K250</f>
        <v>0</v>
      </c>
      <c r="L240" s="178">
        <f t="shared" si="134"/>
        <v>72037500</v>
      </c>
      <c r="M240" s="180">
        <f>+K240+L240</f>
        <v>72037500</v>
      </c>
      <c r="N240" s="169">
        <f>+M240/F240</f>
        <v>7.0833333333333331E-2</v>
      </c>
      <c r="O240" s="10">
        <f>+F240-M240</f>
        <v>944962500</v>
      </c>
      <c r="P240" s="83"/>
      <c r="Q240" s="6" t="str">
        <f t="shared" ref="Q240" si="135">IF(M240&lt;=I240,"OKE","Salah")</f>
        <v>OKE</v>
      </c>
      <c r="R240" s="6"/>
    </row>
    <row r="241" spans="1:18" ht="15.95" customHeight="1" x14ac:dyDescent="0.2">
      <c r="A241" s="74"/>
      <c r="B241" s="74"/>
      <c r="C241" s="76"/>
      <c r="D241" s="15"/>
      <c r="E241" s="15"/>
      <c r="F241" s="15"/>
      <c r="G241" s="80"/>
      <c r="H241" s="79"/>
      <c r="I241" s="80"/>
      <c r="J241" s="86"/>
      <c r="K241" s="80"/>
      <c r="L241" s="76"/>
      <c r="M241" s="76"/>
      <c r="N241" s="86"/>
      <c r="O241" s="10"/>
      <c r="P241" s="83"/>
      <c r="Q241" s="6"/>
      <c r="R241" s="6"/>
    </row>
    <row r="242" spans="1:18" ht="27" customHeight="1" x14ac:dyDescent="0.2">
      <c r="A242" s="74">
        <v>11</v>
      </c>
      <c r="B242" s="29" t="s">
        <v>303</v>
      </c>
      <c r="C242" s="219" t="s">
        <v>312</v>
      </c>
      <c r="D242" s="13">
        <v>1017000000</v>
      </c>
      <c r="E242" s="14"/>
      <c r="F242" s="14">
        <f>+D242+E242</f>
        <v>1017000000</v>
      </c>
      <c r="G242" s="78">
        <v>0</v>
      </c>
      <c r="H242" s="79">
        <v>72037500</v>
      </c>
      <c r="I242" s="15">
        <f>+G242+H242</f>
        <v>72037500</v>
      </c>
      <c r="J242" s="143">
        <f>+I242/F242</f>
        <v>7.0833333333333331E-2</v>
      </c>
      <c r="K242" s="78"/>
      <c r="L242" s="80">
        <v>72037500</v>
      </c>
      <c r="M242" s="80">
        <f>+K242+L242</f>
        <v>72037500</v>
      </c>
      <c r="N242" s="171">
        <f>+M242/F242</f>
        <v>7.0833333333333331E-2</v>
      </c>
      <c r="O242" s="15">
        <f>+F242-M242</f>
        <v>944962500</v>
      </c>
      <c r="P242" s="83"/>
      <c r="Q242" s="6" t="str">
        <f t="shared" ref="Q242" si="136">IF(M242&lt;=I242,"OKE","Salah")</f>
        <v>OKE</v>
      </c>
      <c r="R242" s="6"/>
    </row>
    <row r="243" spans="1:18" ht="16.5" customHeight="1" x14ac:dyDescent="0.2">
      <c r="A243" s="74"/>
      <c r="B243" s="29"/>
      <c r="C243" s="219"/>
      <c r="D243" s="13"/>
      <c r="E243" s="14"/>
      <c r="F243" s="14"/>
      <c r="G243" s="78"/>
      <c r="H243" s="79"/>
      <c r="I243" s="15"/>
      <c r="J243" s="143"/>
      <c r="K243" s="78"/>
      <c r="L243" s="80"/>
      <c r="M243" s="80"/>
      <c r="N243" s="171"/>
      <c r="O243" s="15"/>
      <c r="P243" s="77"/>
      <c r="Q243" s="6"/>
      <c r="R243" s="6"/>
    </row>
    <row r="244" spans="1:18" ht="17.25" customHeight="1" x14ac:dyDescent="0.2">
      <c r="A244" s="139"/>
      <c r="B244" s="139"/>
      <c r="C244" s="140" t="s">
        <v>172</v>
      </c>
      <c r="D244" s="141">
        <f>+D242</f>
        <v>1017000000</v>
      </c>
      <c r="E244" s="141">
        <f>+E242</f>
        <v>0</v>
      </c>
      <c r="F244" s="141">
        <f>+F242</f>
        <v>1017000000</v>
      </c>
      <c r="G244" s="141">
        <f t="shared" ref="G244:H244" si="137">+G242</f>
        <v>0</v>
      </c>
      <c r="H244" s="141">
        <f t="shared" si="137"/>
        <v>72037500</v>
      </c>
      <c r="I244" s="141">
        <f>+G244+H244</f>
        <v>72037500</v>
      </c>
      <c r="J244" s="176">
        <f>+I244/F244</f>
        <v>7.0833333333333331E-2</v>
      </c>
      <c r="K244" s="141">
        <f>+K242</f>
        <v>0</v>
      </c>
      <c r="L244" s="141">
        <f>+L242</f>
        <v>72037500</v>
      </c>
      <c r="M244" s="141">
        <f>+K244+L244</f>
        <v>72037500</v>
      </c>
      <c r="N244" s="173">
        <f>+M244/F244</f>
        <v>7.0833333333333331E-2</v>
      </c>
      <c r="O244" s="141">
        <f>+F244-M244</f>
        <v>944962500</v>
      </c>
      <c r="P244" s="77"/>
      <c r="Q244" s="6" t="str">
        <f t="shared" ref="Q244" si="138">IF(M244&lt;=I244,"OKE","Salah")</f>
        <v>OKE</v>
      </c>
      <c r="R244" s="6"/>
    </row>
    <row r="245" spans="1:18" ht="18.75" customHeight="1" x14ac:dyDescent="0.2">
      <c r="A245" s="74"/>
      <c r="B245" s="29"/>
      <c r="C245" s="8"/>
      <c r="D245" s="13"/>
      <c r="E245" s="13"/>
      <c r="F245" s="13"/>
      <c r="G245" s="80"/>
      <c r="H245" s="79"/>
      <c r="I245" s="15"/>
      <c r="J245" s="143"/>
      <c r="K245" s="80"/>
      <c r="L245" s="80"/>
      <c r="M245" s="80"/>
      <c r="N245" s="171"/>
      <c r="O245" s="15"/>
      <c r="P245" s="77"/>
      <c r="Q245" s="6"/>
      <c r="R245" s="6"/>
    </row>
    <row r="246" spans="1:18" ht="18.75" customHeight="1" x14ac:dyDescent="0.2">
      <c r="A246" s="74"/>
      <c r="B246" s="29"/>
      <c r="C246" s="8"/>
      <c r="D246" s="13"/>
      <c r="E246" s="13"/>
      <c r="F246" s="13"/>
      <c r="G246" s="80"/>
      <c r="H246" s="79"/>
      <c r="I246" s="15"/>
      <c r="J246" s="143"/>
      <c r="K246" s="80"/>
      <c r="L246" s="80"/>
      <c r="M246" s="80"/>
      <c r="N246" s="171"/>
      <c r="O246" s="15"/>
      <c r="P246" s="77"/>
      <c r="Q246" s="6"/>
      <c r="R246" s="6"/>
    </row>
    <row r="247" spans="1:18" ht="21.75" customHeight="1" x14ac:dyDescent="0.2">
      <c r="A247" s="7"/>
      <c r="B247" s="206" t="s">
        <v>183</v>
      </c>
      <c r="C247" s="289" t="s">
        <v>182</v>
      </c>
      <c r="D247" s="10">
        <f>+D249+D251</f>
        <v>2300000000</v>
      </c>
      <c r="E247" s="10">
        <f t="shared" ref="E247:F247" si="139">+E249+E251</f>
        <v>0</v>
      </c>
      <c r="F247" s="10">
        <f t="shared" si="139"/>
        <v>2300000000</v>
      </c>
      <c r="G247" s="10">
        <f t="shared" ref="G247:H247" si="140">+G253</f>
        <v>0</v>
      </c>
      <c r="H247" s="11">
        <f t="shared" si="140"/>
        <v>0</v>
      </c>
      <c r="I247" s="10">
        <f>+G247+H247</f>
        <v>0</v>
      </c>
      <c r="J247" s="168">
        <f>+I247/F247</f>
        <v>0</v>
      </c>
      <c r="K247" s="10">
        <f t="shared" ref="K247:L247" si="141">+K249+K251</f>
        <v>0</v>
      </c>
      <c r="L247" s="10">
        <f t="shared" si="141"/>
        <v>0</v>
      </c>
      <c r="M247" s="10">
        <f>+K247+L247</f>
        <v>0</v>
      </c>
      <c r="N247" s="169">
        <f>+M247/F247</f>
        <v>0</v>
      </c>
      <c r="O247" s="10">
        <f>+F247-M247</f>
        <v>2300000000</v>
      </c>
      <c r="P247" s="77"/>
      <c r="Q247" s="6" t="str">
        <f t="shared" ref="Q247:Q285" si="142">IF(M247&lt;=I247,"OKE","Salah")</f>
        <v>OKE</v>
      </c>
      <c r="R247" s="6"/>
    </row>
    <row r="248" spans="1:18" ht="15.95" customHeight="1" x14ac:dyDescent="0.2">
      <c r="A248" s="74"/>
      <c r="B248" s="74"/>
      <c r="C248" s="76"/>
      <c r="D248" s="15"/>
      <c r="E248" s="15"/>
      <c r="F248" s="15"/>
      <c r="G248" s="80"/>
      <c r="H248" s="79"/>
      <c r="I248" s="80"/>
      <c r="J248" s="86"/>
      <c r="K248" s="80"/>
      <c r="L248" s="76"/>
      <c r="M248" s="76"/>
      <c r="N248" s="86"/>
      <c r="O248" s="10"/>
      <c r="P248" s="77"/>
      <c r="Q248" s="6"/>
      <c r="R248" s="6"/>
    </row>
    <row r="249" spans="1:18" ht="21.75" customHeight="1" x14ac:dyDescent="0.2">
      <c r="A249" s="74">
        <v>12</v>
      </c>
      <c r="B249" s="207" t="s">
        <v>185</v>
      </c>
      <c r="C249" s="276" t="s">
        <v>184</v>
      </c>
      <c r="D249" s="13">
        <v>2100000000</v>
      </c>
      <c r="E249" s="14"/>
      <c r="F249" s="14">
        <f>+D249+E249</f>
        <v>2100000000</v>
      </c>
      <c r="G249" s="78"/>
      <c r="H249" s="79">
        <v>0</v>
      </c>
      <c r="I249" s="15">
        <f>+G249+H249</f>
        <v>0</v>
      </c>
      <c r="J249" s="143">
        <f>+I249/F249</f>
        <v>0</v>
      </c>
      <c r="K249" s="80"/>
      <c r="L249" s="80">
        <v>0</v>
      </c>
      <c r="M249" s="80">
        <f>+K249+L249</f>
        <v>0</v>
      </c>
      <c r="N249" s="171">
        <f>+M249/F249</f>
        <v>0</v>
      </c>
      <c r="O249" s="15">
        <f>+F249-M249</f>
        <v>2100000000</v>
      </c>
      <c r="P249" s="77"/>
      <c r="Q249" s="6" t="str">
        <f t="shared" si="142"/>
        <v>OKE</v>
      </c>
      <c r="R249" s="6"/>
    </row>
    <row r="250" spans="1:18" ht="15.95" customHeight="1" x14ac:dyDescent="0.2">
      <c r="A250" s="74"/>
      <c r="B250" s="29"/>
      <c r="C250" s="27"/>
      <c r="D250" s="13"/>
      <c r="E250" s="14"/>
      <c r="F250" s="14"/>
      <c r="G250" s="78"/>
      <c r="H250" s="79"/>
      <c r="I250" s="15"/>
      <c r="J250" s="143"/>
      <c r="K250" s="80"/>
      <c r="L250" s="80"/>
      <c r="M250" s="80"/>
      <c r="N250" s="171"/>
      <c r="O250" s="15"/>
      <c r="P250" s="77"/>
      <c r="Q250" s="6"/>
      <c r="R250" s="6"/>
    </row>
    <row r="251" spans="1:18" ht="22.5" customHeight="1" x14ac:dyDescent="0.2">
      <c r="A251" s="74">
        <v>13</v>
      </c>
      <c r="B251" s="207" t="s">
        <v>186</v>
      </c>
      <c r="C251" s="276" t="s">
        <v>187</v>
      </c>
      <c r="D251" s="213">
        <v>200000000</v>
      </c>
      <c r="E251" s="14"/>
      <c r="F251" s="14">
        <f>+D251+E251</f>
        <v>200000000</v>
      </c>
      <c r="G251" s="78"/>
      <c r="H251" s="79">
        <v>0</v>
      </c>
      <c r="I251" s="15">
        <f>+G251+H251</f>
        <v>0</v>
      </c>
      <c r="J251" s="143">
        <f>+I251/F251</f>
        <v>0</v>
      </c>
      <c r="K251" s="80"/>
      <c r="L251" s="80">
        <v>0</v>
      </c>
      <c r="M251" s="80">
        <f>+K251+L251</f>
        <v>0</v>
      </c>
      <c r="N251" s="171">
        <f>+M251/F251</f>
        <v>0</v>
      </c>
      <c r="O251" s="15">
        <f>+F251-M251</f>
        <v>200000000</v>
      </c>
      <c r="P251" s="77"/>
      <c r="Q251" s="6" t="str">
        <f t="shared" ref="Q251" si="143">IF(M251&lt;=I251,"OKE","Salah")</f>
        <v>OKE</v>
      </c>
      <c r="R251" s="6"/>
    </row>
    <row r="252" spans="1:18" ht="15.95" customHeight="1" x14ac:dyDescent="0.2">
      <c r="A252" s="74"/>
      <c r="B252" s="74"/>
      <c r="C252" s="76"/>
      <c r="D252" s="15"/>
      <c r="E252" s="15"/>
      <c r="F252" s="15"/>
      <c r="G252" s="80"/>
      <c r="H252" s="79"/>
      <c r="I252" s="80"/>
      <c r="J252" s="86"/>
      <c r="K252" s="80"/>
      <c r="L252" s="76"/>
      <c r="M252" s="76"/>
      <c r="N252" s="86"/>
      <c r="O252" s="10"/>
      <c r="P252" s="77"/>
      <c r="Q252" s="6"/>
      <c r="R252" s="6"/>
    </row>
    <row r="253" spans="1:18" ht="20.25" customHeight="1" x14ac:dyDescent="0.2">
      <c r="A253" s="139"/>
      <c r="B253" s="139"/>
      <c r="C253" s="140" t="s">
        <v>113</v>
      </c>
      <c r="D253" s="141">
        <f>SUM(D249:D251)</f>
        <v>2300000000</v>
      </c>
      <c r="E253" s="141">
        <f t="shared" ref="E253" si="144">SUM(E249:E251)</f>
        <v>0</v>
      </c>
      <c r="F253" s="141">
        <f>+D253+E253</f>
        <v>2300000000</v>
      </c>
      <c r="G253" s="141">
        <f>SUM(G249:G251)</f>
        <v>0</v>
      </c>
      <c r="H253" s="141">
        <f>SUM(H249:H251)</f>
        <v>0</v>
      </c>
      <c r="I253" s="141">
        <f>+G253+H253</f>
        <v>0</v>
      </c>
      <c r="J253" s="176">
        <f>+I253/F253</f>
        <v>0</v>
      </c>
      <c r="K253" s="141">
        <f t="shared" ref="K253:L253" si="145">SUM(K249:K251)</f>
        <v>0</v>
      </c>
      <c r="L253" s="141">
        <f t="shared" si="145"/>
        <v>0</v>
      </c>
      <c r="M253" s="141">
        <f>+M249</f>
        <v>0</v>
      </c>
      <c r="N253" s="173">
        <f>+M253/F253</f>
        <v>0</v>
      </c>
      <c r="O253" s="141">
        <f>+D253-M253</f>
        <v>2300000000</v>
      </c>
      <c r="P253" s="77"/>
      <c r="Q253" s="6" t="str">
        <f t="shared" si="142"/>
        <v>OKE</v>
      </c>
      <c r="R253" s="6"/>
    </row>
    <row r="254" spans="1:18" ht="8.25" customHeight="1" x14ac:dyDescent="0.2">
      <c r="A254" s="74"/>
      <c r="B254" s="74"/>
      <c r="C254" s="9"/>
      <c r="D254" s="10"/>
      <c r="E254" s="10"/>
      <c r="F254" s="10"/>
      <c r="G254" s="10"/>
      <c r="H254" s="10"/>
      <c r="I254" s="10"/>
      <c r="J254" s="168"/>
      <c r="K254" s="10"/>
      <c r="L254" s="10"/>
      <c r="M254" s="10"/>
      <c r="N254" s="169"/>
      <c r="O254" s="10"/>
      <c r="P254" s="77"/>
      <c r="Q254" s="6"/>
      <c r="R254" s="6"/>
    </row>
    <row r="255" spans="1:18" ht="15.95" customHeight="1" x14ac:dyDescent="0.2">
      <c r="A255" s="74"/>
      <c r="B255" s="74"/>
      <c r="C255" s="9"/>
      <c r="D255" s="10"/>
      <c r="E255" s="10"/>
      <c r="F255" s="10"/>
      <c r="G255" s="10"/>
      <c r="H255" s="11"/>
      <c r="I255" s="10"/>
      <c r="J255" s="176"/>
      <c r="K255" s="10"/>
      <c r="L255" s="10"/>
      <c r="M255" s="10"/>
      <c r="N255" s="169"/>
      <c r="O255" s="10"/>
      <c r="P255" s="77"/>
      <c r="Q255" s="6"/>
      <c r="R255" s="6"/>
    </row>
    <row r="256" spans="1:18" ht="11.25" customHeight="1" x14ac:dyDescent="0.2">
      <c r="A256" s="388"/>
      <c r="B256" s="388"/>
      <c r="C256" s="395" t="s">
        <v>76</v>
      </c>
      <c r="D256" s="364">
        <f>+D206+D220+D228+D238+D244+D253</f>
        <v>12180425000</v>
      </c>
      <c r="E256" s="364">
        <f>+E220+E228+E238+E253</f>
        <v>0</v>
      </c>
      <c r="F256" s="364">
        <f>+D256+E256</f>
        <v>12180425000</v>
      </c>
      <c r="G256" s="364">
        <f>+G206+G220+G228+G238+G244+G253</f>
        <v>0</v>
      </c>
      <c r="H256" s="364">
        <f>+H206+H220+H228+H238+H244+H253</f>
        <v>168020638</v>
      </c>
      <c r="I256" s="364">
        <f>+G256+H256</f>
        <v>168020638</v>
      </c>
      <c r="J256" s="408">
        <f>+I256/F256</f>
        <v>1.3794316536574052E-2</v>
      </c>
      <c r="K256" s="364">
        <f>+K206+K220+K228+K238+K244+K253</f>
        <v>0</v>
      </c>
      <c r="L256" s="364">
        <f>+L206+L220+L228+L238+L244+L253</f>
        <v>168020638</v>
      </c>
      <c r="M256" s="364">
        <f>+K256+L256</f>
        <v>168020638</v>
      </c>
      <c r="N256" s="366">
        <f>+M256/F256</f>
        <v>1.3794316536574052E-2</v>
      </c>
      <c r="O256" s="364">
        <f>+F256-M256</f>
        <v>12012404362</v>
      </c>
      <c r="P256" s="77"/>
      <c r="Q256" s="6" t="str">
        <f t="shared" si="142"/>
        <v>OKE</v>
      </c>
      <c r="R256" s="6"/>
    </row>
    <row r="257" spans="1:18" ht="15" thickBot="1" x14ac:dyDescent="0.25">
      <c r="A257" s="389"/>
      <c r="B257" s="389"/>
      <c r="C257" s="396"/>
      <c r="D257" s="396"/>
      <c r="E257" s="396"/>
      <c r="F257" s="396"/>
      <c r="G257" s="396"/>
      <c r="H257" s="396"/>
      <c r="I257" s="396"/>
      <c r="J257" s="409"/>
      <c r="K257" s="396"/>
      <c r="L257" s="396"/>
      <c r="M257" s="396"/>
      <c r="N257" s="367"/>
      <c r="O257" s="396"/>
      <c r="P257" s="83"/>
      <c r="Q257" s="6" t="str">
        <f t="shared" si="142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42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42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42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42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42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42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42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42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42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42"/>
        <v>OKE</v>
      </c>
      <c r="R267" s="6"/>
    </row>
    <row r="268" spans="1:18" ht="15" hidden="1" thickBot="1" x14ac:dyDescent="0.25">
      <c r="B268" s="88"/>
      <c r="C268" s="77"/>
      <c r="D268" s="31"/>
      <c r="E268" s="31"/>
      <c r="F268" s="31"/>
      <c r="G268" s="179"/>
      <c r="H268" s="258"/>
      <c r="I268" s="179"/>
      <c r="J268" s="179"/>
      <c r="K268" s="179"/>
      <c r="L268" s="77"/>
      <c r="M268" s="77"/>
      <c r="N268" s="77"/>
      <c r="O268" s="77"/>
      <c r="P268" s="77"/>
      <c r="Q268" s="6" t="str">
        <f t="shared" si="142"/>
        <v>OKE</v>
      </c>
      <c r="R268" s="6"/>
    </row>
    <row r="269" spans="1:18" ht="15" hidden="1" thickBot="1" x14ac:dyDescent="0.25">
      <c r="B269" s="88"/>
      <c r="C269" s="77"/>
      <c r="D269" s="31"/>
      <c r="E269" s="31"/>
      <c r="F269" s="31"/>
      <c r="G269" s="179"/>
      <c r="H269" s="258"/>
      <c r="I269" s="179"/>
      <c r="J269" s="179"/>
      <c r="K269" s="179"/>
      <c r="L269" s="77"/>
      <c r="M269" s="77"/>
      <c r="N269" s="77"/>
      <c r="O269" s="77"/>
      <c r="P269" s="77"/>
      <c r="Q269" s="6" t="str">
        <f t="shared" si="142"/>
        <v>OKE</v>
      </c>
      <c r="R269" s="6"/>
    </row>
    <row r="270" spans="1:18" ht="14.1" hidden="1" customHeight="1" x14ac:dyDescent="0.2">
      <c r="A270" s="410" t="s">
        <v>0</v>
      </c>
      <c r="B270" s="410"/>
      <c r="C270" s="410"/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77"/>
      <c r="Q270" s="6" t="str">
        <f t="shared" si="142"/>
        <v>OKE</v>
      </c>
      <c r="R270" s="6"/>
    </row>
    <row r="271" spans="1:18" ht="14.1" hidden="1" customHeight="1" x14ac:dyDescent="0.2">
      <c r="A271" s="410" t="s">
        <v>130</v>
      </c>
      <c r="B271" s="410"/>
      <c r="C271" s="410"/>
      <c r="D271" s="410"/>
      <c r="E271" s="410"/>
      <c r="F271" s="410"/>
      <c r="G271" s="410"/>
      <c r="H271" s="410"/>
      <c r="I271" s="410"/>
      <c r="J271" s="410"/>
      <c r="K271" s="410"/>
      <c r="L271" s="410"/>
      <c r="M271" s="410"/>
      <c r="N271" s="410"/>
      <c r="O271" s="410"/>
      <c r="P271" s="77"/>
      <c r="Q271" s="6" t="str">
        <f t="shared" si="142"/>
        <v>OKE</v>
      </c>
      <c r="R271" s="6"/>
    </row>
    <row r="272" spans="1:18" ht="14.1" hidden="1" customHeight="1" x14ac:dyDescent="0.2">
      <c r="A272" s="407" t="s">
        <v>131</v>
      </c>
      <c r="B272" s="407"/>
      <c r="C272" s="407"/>
      <c r="D272" s="407"/>
      <c r="E272" s="407"/>
      <c r="F272" s="407"/>
      <c r="G272" s="407"/>
      <c r="H272" s="407"/>
      <c r="I272" s="407"/>
      <c r="J272" s="407"/>
      <c r="K272" s="407"/>
      <c r="L272" s="407"/>
      <c r="M272" s="407"/>
      <c r="N272" s="407"/>
      <c r="O272" s="407"/>
      <c r="P272" s="77"/>
      <c r="Q272" s="6" t="str">
        <f t="shared" si="142"/>
        <v>OKE</v>
      </c>
      <c r="R272" s="6"/>
    </row>
    <row r="273" spans="1:18" ht="14.1" hidden="1" customHeight="1" x14ac:dyDescent="0.2">
      <c r="A273" s="361" t="s">
        <v>2</v>
      </c>
      <c r="B273" s="361" t="s">
        <v>3</v>
      </c>
      <c r="C273" s="361" t="s">
        <v>4</v>
      </c>
      <c r="D273" s="361" t="s">
        <v>5</v>
      </c>
      <c r="E273" s="197"/>
      <c r="F273" s="197"/>
      <c r="G273" s="358" t="s">
        <v>11</v>
      </c>
      <c r="H273" s="359"/>
      <c r="I273" s="359"/>
      <c r="J273" s="360"/>
      <c r="K273" s="358" t="s">
        <v>9</v>
      </c>
      <c r="L273" s="359"/>
      <c r="M273" s="359"/>
      <c r="N273" s="360"/>
      <c r="O273" s="361" t="s">
        <v>10</v>
      </c>
      <c r="P273" s="77"/>
      <c r="Q273" s="6" t="str">
        <f t="shared" si="142"/>
        <v>OKE</v>
      </c>
      <c r="R273" s="6"/>
    </row>
    <row r="274" spans="1:18" ht="14.1" hidden="1" customHeight="1" x14ac:dyDescent="0.2">
      <c r="A274" s="362"/>
      <c r="B274" s="362"/>
      <c r="C274" s="362"/>
      <c r="D274" s="362"/>
      <c r="E274" s="44"/>
      <c r="F274" s="44"/>
      <c r="G274" s="358" t="s">
        <v>74</v>
      </c>
      <c r="H274" s="359"/>
      <c r="I274" s="359"/>
      <c r="J274" s="360"/>
      <c r="K274" s="358" t="s">
        <v>12</v>
      </c>
      <c r="L274" s="359"/>
      <c r="M274" s="359"/>
      <c r="N274" s="360"/>
      <c r="O274" s="362"/>
      <c r="P274" s="77"/>
      <c r="Q274" s="6" t="str">
        <f t="shared" si="142"/>
        <v>OKE</v>
      </c>
      <c r="R274" s="6"/>
    </row>
    <row r="275" spans="1:18" ht="15" hidden="1" thickBot="1" x14ac:dyDescent="0.25">
      <c r="A275" s="363"/>
      <c r="B275" s="363"/>
      <c r="C275" s="363"/>
      <c r="D275" s="363"/>
      <c r="E275" s="196"/>
      <c r="F275" s="196"/>
      <c r="G275" s="144" t="s">
        <v>13</v>
      </c>
      <c r="H275" s="145" t="s">
        <v>14</v>
      </c>
      <c r="I275" s="144" t="s">
        <v>15</v>
      </c>
      <c r="J275" s="144" t="s">
        <v>16</v>
      </c>
      <c r="K275" s="144" t="s">
        <v>13</v>
      </c>
      <c r="L275" s="144" t="s">
        <v>14</v>
      </c>
      <c r="M275" s="144" t="s">
        <v>15</v>
      </c>
      <c r="N275" s="144" t="s">
        <v>16</v>
      </c>
      <c r="O275" s="363"/>
      <c r="P275" s="77"/>
      <c r="Q275" s="6" t="str">
        <f t="shared" si="142"/>
        <v>OKE</v>
      </c>
      <c r="R275" s="6"/>
    </row>
    <row r="276" spans="1:18" ht="15" hidden="1" thickBot="1" x14ac:dyDescent="0.25">
      <c r="A276" s="2">
        <v>1</v>
      </c>
      <c r="B276" s="2">
        <v>2</v>
      </c>
      <c r="C276" s="2">
        <v>3</v>
      </c>
      <c r="D276" s="2">
        <v>4</v>
      </c>
      <c r="E276" s="2"/>
      <c r="F276" s="2"/>
      <c r="G276" s="2">
        <v>5</v>
      </c>
      <c r="H276" s="145">
        <v>6</v>
      </c>
      <c r="I276" s="45" t="s">
        <v>77</v>
      </c>
      <c r="J276" s="45" t="s">
        <v>78</v>
      </c>
      <c r="K276" s="45">
        <v>9</v>
      </c>
      <c r="L276" s="45">
        <v>10</v>
      </c>
      <c r="M276" s="45" t="s">
        <v>79</v>
      </c>
      <c r="N276" s="45" t="s">
        <v>80</v>
      </c>
      <c r="O276" s="45" t="s">
        <v>81</v>
      </c>
      <c r="P276" s="77"/>
      <c r="Q276" s="6" t="str">
        <f t="shared" si="142"/>
        <v>OKE</v>
      </c>
      <c r="R276" s="6"/>
    </row>
    <row r="277" spans="1:18" ht="15" hidden="1" thickBot="1" x14ac:dyDescent="0.25">
      <c r="A277" s="74"/>
      <c r="B277" s="76"/>
      <c r="C277" s="76"/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241"/>
      <c r="O277" s="241"/>
      <c r="P277" s="77"/>
      <c r="Q277" s="6" t="str">
        <f t="shared" si="142"/>
        <v>OKE</v>
      </c>
      <c r="R277" s="6"/>
    </row>
    <row r="278" spans="1:18" ht="15" hidden="1" thickBot="1" x14ac:dyDescent="0.25">
      <c r="A278" s="74"/>
      <c r="B278" s="76"/>
      <c r="C278" s="244" t="s">
        <v>82</v>
      </c>
      <c r="D278" s="8"/>
      <c r="E278" s="8"/>
      <c r="F278" s="8"/>
      <c r="G278" s="76"/>
      <c r="H278" s="82"/>
      <c r="I278" s="76"/>
      <c r="J278" s="76"/>
      <c r="K278" s="76"/>
      <c r="L278" s="76"/>
      <c r="M278" s="76"/>
      <c r="N278" s="76"/>
      <c r="O278" s="76"/>
      <c r="P278" s="77"/>
      <c r="Q278" s="6" t="str">
        <f t="shared" si="142"/>
        <v>OKE</v>
      </c>
      <c r="R278" s="6"/>
    </row>
    <row r="279" spans="1:18" ht="15" hidden="1" thickBot="1" x14ac:dyDescent="0.25">
      <c r="A279" s="74"/>
      <c r="B279" s="76"/>
      <c r="C279" s="76"/>
      <c r="D279" s="8"/>
      <c r="E279" s="8"/>
      <c r="F279" s="8"/>
      <c r="G279" s="76"/>
      <c r="H279" s="82"/>
      <c r="I279" s="76"/>
      <c r="J279" s="76"/>
      <c r="K279" s="76"/>
      <c r="L279" s="76"/>
      <c r="M279" s="76"/>
      <c r="N279" s="76"/>
      <c r="O279" s="76"/>
      <c r="P279" s="77"/>
      <c r="Q279" s="6" t="str">
        <f t="shared" si="142"/>
        <v>OKE</v>
      </c>
      <c r="R279" s="6"/>
    </row>
    <row r="280" spans="1:18" ht="15" hidden="1" thickBot="1" x14ac:dyDescent="0.25">
      <c r="A280" s="7" t="s">
        <v>22</v>
      </c>
      <c r="B280" s="7" t="s">
        <v>23</v>
      </c>
      <c r="C280" s="9" t="s">
        <v>45</v>
      </c>
      <c r="D280" s="10">
        <f>+D282+D287+D289+D291</f>
        <v>352575000</v>
      </c>
      <c r="E280" s="10"/>
      <c r="F280" s="10"/>
      <c r="G280" s="10">
        <f>+G282+G287+G289+G291</f>
        <v>130595000</v>
      </c>
      <c r="H280" s="11">
        <f>+H282+H287+H289+H291</f>
        <v>200225000</v>
      </c>
      <c r="I280" s="10">
        <f>+G280+H280</f>
        <v>330820000</v>
      </c>
      <c r="J280" s="12">
        <f>+I280/D280</f>
        <v>0.9382968162802241</v>
      </c>
      <c r="K280" s="10">
        <f>+K282+K287+K289+K291</f>
        <v>124051000</v>
      </c>
      <c r="L280" s="10">
        <f>+L282+L287+L289+L291</f>
        <v>199372700</v>
      </c>
      <c r="M280" s="10">
        <f>+K280+L280</f>
        <v>323423700</v>
      </c>
      <c r="N280" s="12">
        <f>+M280/D280</f>
        <v>0.91731886832588816</v>
      </c>
      <c r="O280" s="10">
        <f>+D280-I280</f>
        <v>21755000</v>
      </c>
      <c r="P280" s="77"/>
      <c r="Q280" s="6" t="str">
        <f t="shared" si="142"/>
        <v>OKE</v>
      </c>
      <c r="R280" s="6"/>
    </row>
    <row r="281" spans="1:18" ht="15" hidden="1" thickBot="1" x14ac:dyDescent="0.25">
      <c r="A281" s="74"/>
      <c r="B281" s="74"/>
      <c r="C281" s="76"/>
      <c r="D281" s="15"/>
      <c r="E281" s="15"/>
      <c r="F281" s="15"/>
      <c r="G281" s="80"/>
      <c r="H281" s="79"/>
      <c r="I281" s="80"/>
      <c r="J281" s="80"/>
      <c r="K281" s="80"/>
      <c r="L281" s="76"/>
      <c r="M281" s="76"/>
      <c r="N281" s="76"/>
      <c r="O281" s="76"/>
      <c r="P281" s="77"/>
      <c r="Q281" s="6" t="str">
        <f t="shared" si="142"/>
        <v>OKE</v>
      </c>
      <c r="R281" s="6"/>
    </row>
    <row r="282" spans="1:18" ht="15" hidden="1" thickBot="1" x14ac:dyDescent="0.25">
      <c r="A282" s="74">
        <v>1</v>
      </c>
      <c r="B282" s="75" t="s">
        <v>39</v>
      </c>
      <c r="C282" s="76" t="s">
        <v>50</v>
      </c>
      <c r="D282" s="15">
        <v>255000000</v>
      </c>
      <c r="E282" s="15"/>
      <c r="F282" s="15"/>
      <c r="G282" s="80">
        <v>68220000</v>
      </c>
      <c r="H282" s="79">
        <v>173020000</v>
      </c>
      <c r="I282" s="15">
        <f>+G282+H282</f>
        <v>241240000</v>
      </c>
      <c r="J282" s="16">
        <f>+I282/D282</f>
        <v>0.94603921568627447</v>
      </c>
      <c r="K282" s="80">
        <v>65540000</v>
      </c>
      <c r="L282" s="80">
        <v>174070000</v>
      </c>
      <c r="M282" s="80">
        <f>+K282+L282</f>
        <v>239610000</v>
      </c>
      <c r="N282" s="16">
        <f>+M282/D282</f>
        <v>0.93964705882352939</v>
      </c>
      <c r="O282" s="80">
        <f>+D282-I282</f>
        <v>13760000</v>
      </c>
      <c r="P282" s="77"/>
      <c r="Q282" s="6" t="str">
        <f t="shared" si="142"/>
        <v>OKE</v>
      </c>
      <c r="R282" s="6"/>
    </row>
    <row r="283" spans="1:18" ht="15" hidden="1" thickBot="1" x14ac:dyDescent="0.25">
      <c r="A283" s="74"/>
      <c r="B283" s="75"/>
      <c r="C283" s="76"/>
      <c r="D283" s="15"/>
      <c r="E283" s="15"/>
      <c r="F283" s="15"/>
      <c r="G283" s="80"/>
      <c r="H283" s="79"/>
      <c r="I283" s="15"/>
      <c r="J283" s="16"/>
      <c r="K283" s="80"/>
      <c r="L283" s="80"/>
      <c r="M283" s="80"/>
      <c r="N283" s="16"/>
      <c r="O283" s="80"/>
      <c r="P283" s="77"/>
      <c r="Q283" s="6" t="str">
        <f t="shared" si="142"/>
        <v>OKE</v>
      </c>
      <c r="R283" s="6"/>
    </row>
    <row r="284" spans="1:18" ht="15" hidden="1" thickBot="1" x14ac:dyDescent="0.25">
      <c r="A284" s="74"/>
      <c r="B284" s="18" t="s">
        <v>24</v>
      </c>
      <c r="C284" s="19" t="s">
        <v>25</v>
      </c>
      <c r="D284" s="20">
        <v>44275000</v>
      </c>
      <c r="E284" s="20"/>
      <c r="F284" s="20"/>
      <c r="G284" s="20">
        <v>33022500</v>
      </c>
      <c r="H284" s="21">
        <v>2527500</v>
      </c>
      <c r="I284" s="20">
        <f>+G284+H284</f>
        <v>35550000</v>
      </c>
      <c r="J284" s="22">
        <f>+I284/D284</f>
        <v>0.80293619424054208</v>
      </c>
      <c r="K284" s="20">
        <v>27217500</v>
      </c>
      <c r="L284" s="20">
        <v>0</v>
      </c>
      <c r="M284" s="20">
        <f>+K284+L284</f>
        <v>27217500</v>
      </c>
      <c r="N284" s="22">
        <f>+M284/D284</f>
        <v>0.61473743647656687</v>
      </c>
      <c r="O284" s="20">
        <f>+D284-I284</f>
        <v>8725000</v>
      </c>
      <c r="P284" s="77"/>
      <c r="Q284" s="6" t="str">
        <f t="shared" si="142"/>
        <v>OKE</v>
      </c>
      <c r="R284" s="6"/>
    </row>
    <row r="285" spans="1:18" ht="15" hidden="1" thickBot="1" x14ac:dyDescent="0.25">
      <c r="A285" s="74"/>
      <c r="B285" s="18" t="s">
        <v>24</v>
      </c>
      <c r="C285" s="19" t="s">
        <v>28</v>
      </c>
      <c r="D285" s="20">
        <v>-11700000</v>
      </c>
      <c r="E285" s="20"/>
      <c r="F285" s="20"/>
      <c r="G285" s="20">
        <v>0</v>
      </c>
      <c r="H285" s="21">
        <v>-8825000</v>
      </c>
      <c r="I285" s="20">
        <f>+G285+H285</f>
        <v>-8825000</v>
      </c>
      <c r="J285" s="22"/>
      <c r="K285" s="20"/>
      <c r="L285" s="20">
        <v>-8825000</v>
      </c>
      <c r="M285" s="20">
        <f>+K285+L285</f>
        <v>-8825000</v>
      </c>
      <c r="N285" s="22"/>
      <c r="O285" s="20"/>
      <c r="P285" s="77"/>
      <c r="Q285" s="6" t="str">
        <f t="shared" si="142"/>
        <v>OKE</v>
      </c>
      <c r="R285" s="6"/>
    </row>
    <row r="286" spans="1:18" ht="15" hidden="1" thickBot="1" x14ac:dyDescent="0.25">
      <c r="A286" s="74"/>
      <c r="B286" s="74"/>
      <c r="C286" s="76"/>
      <c r="D286" s="15"/>
      <c r="E286" s="15"/>
      <c r="F286" s="15"/>
      <c r="G286" s="80"/>
      <c r="H286" s="79"/>
      <c r="I286" s="80"/>
      <c r="J286" s="80"/>
      <c r="K286" s="80"/>
      <c r="L286" s="76"/>
      <c r="M286" s="76"/>
      <c r="N286" s="76"/>
      <c r="O286" s="76"/>
      <c r="P286" s="77"/>
      <c r="Q286" s="6" t="str">
        <f t="shared" ref="Q286:Q349" si="146">IF(M286&lt;=I286,"OKE","Salah")</f>
        <v>OKE</v>
      </c>
      <c r="R286" s="6"/>
    </row>
    <row r="287" spans="1:18" ht="15" hidden="1" thickBot="1" x14ac:dyDescent="0.25">
      <c r="A287" s="74">
        <v>2</v>
      </c>
      <c r="B287" s="75" t="s">
        <v>24</v>
      </c>
      <c r="C287" s="76" t="s">
        <v>25</v>
      </c>
      <c r="D287" s="15">
        <v>32575000</v>
      </c>
      <c r="E287" s="15"/>
      <c r="F287" s="15"/>
      <c r="G287" s="80">
        <v>26725000</v>
      </c>
      <c r="H287" s="79">
        <v>5055000</v>
      </c>
      <c r="I287" s="15">
        <f>+G287+H287</f>
        <v>31780000</v>
      </c>
      <c r="J287" s="16">
        <f>+I287/D287</f>
        <v>0.97559478127398314</v>
      </c>
      <c r="K287" s="80">
        <v>23622500</v>
      </c>
      <c r="L287" s="80">
        <v>7757500</v>
      </c>
      <c r="M287" s="80">
        <f>+K287+L287</f>
        <v>31380000</v>
      </c>
      <c r="N287" s="16">
        <f>+M287/D287</f>
        <v>0.96331542594013819</v>
      </c>
      <c r="O287" s="80">
        <f>+D287-I287</f>
        <v>795000</v>
      </c>
      <c r="P287" s="77"/>
      <c r="Q287" s="6" t="str">
        <f t="shared" si="146"/>
        <v>OKE</v>
      </c>
      <c r="R287" s="6"/>
    </row>
    <row r="288" spans="1:18" ht="15" hidden="1" thickBot="1" x14ac:dyDescent="0.25">
      <c r="A288" s="74"/>
      <c r="B288" s="74"/>
      <c r="C288" s="76"/>
      <c r="D288" s="15"/>
      <c r="E288" s="15"/>
      <c r="F288" s="15"/>
      <c r="G288" s="80"/>
      <c r="H288" s="79"/>
      <c r="I288" s="80"/>
      <c r="J288" s="80"/>
      <c r="K288" s="80"/>
      <c r="L288" s="93"/>
      <c r="M288" s="76"/>
      <c r="N288" s="76"/>
      <c r="O288" s="76"/>
      <c r="P288" s="77"/>
      <c r="Q288" s="6" t="str">
        <f t="shared" si="146"/>
        <v>OKE</v>
      </c>
      <c r="R288" s="6"/>
    </row>
    <row r="289" spans="1:18" ht="15" hidden="1" thickBot="1" x14ac:dyDescent="0.25">
      <c r="A289" s="74">
        <v>3</v>
      </c>
      <c r="B289" s="75" t="s">
        <v>46</v>
      </c>
      <c r="C289" s="76" t="s">
        <v>47</v>
      </c>
      <c r="D289" s="15">
        <v>25000000</v>
      </c>
      <c r="E289" s="15"/>
      <c r="F289" s="15"/>
      <c r="G289" s="80">
        <v>9400000</v>
      </c>
      <c r="H289" s="79">
        <v>15600000</v>
      </c>
      <c r="I289" s="15">
        <f>+G289+H289</f>
        <v>25000000</v>
      </c>
      <c r="J289" s="16">
        <f>+I289/D289</f>
        <v>1</v>
      </c>
      <c r="K289" s="80">
        <v>9400000</v>
      </c>
      <c r="L289" s="80">
        <v>11703700</v>
      </c>
      <c r="M289" s="80">
        <f>+K289+L289</f>
        <v>21103700</v>
      </c>
      <c r="N289" s="16">
        <f>+M289/D289</f>
        <v>0.84414800000000001</v>
      </c>
      <c r="O289" s="80">
        <f>+D289-I289</f>
        <v>0</v>
      </c>
      <c r="P289" s="77"/>
      <c r="Q289" s="6" t="str">
        <f t="shared" si="146"/>
        <v>OKE</v>
      </c>
      <c r="R289" s="6"/>
    </row>
    <row r="290" spans="1:18" ht="15" hidden="1" thickBot="1" x14ac:dyDescent="0.25">
      <c r="A290" s="74"/>
      <c r="B290" s="74"/>
      <c r="C290" s="76"/>
      <c r="D290" s="15"/>
      <c r="E290" s="15"/>
      <c r="F290" s="15"/>
      <c r="G290" s="80"/>
      <c r="H290" s="79"/>
      <c r="I290" s="80"/>
      <c r="J290" s="80"/>
      <c r="K290" s="80"/>
      <c r="L290" s="76"/>
      <c r="M290" s="76"/>
      <c r="N290" s="76"/>
      <c r="O290" s="76"/>
      <c r="P290" s="77"/>
      <c r="Q290" s="6" t="str">
        <f t="shared" si="146"/>
        <v>OKE</v>
      </c>
      <c r="R290" s="6"/>
    </row>
    <row r="291" spans="1:18" ht="15" hidden="1" thickBot="1" x14ac:dyDescent="0.25">
      <c r="A291" s="74">
        <v>4</v>
      </c>
      <c r="B291" s="75" t="s">
        <v>29</v>
      </c>
      <c r="C291" s="76" t="s">
        <v>30</v>
      </c>
      <c r="D291" s="15">
        <v>40000000</v>
      </c>
      <c r="E291" s="15"/>
      <c r="F291" s="15"/>
      <c r="G291" s="80">
        <v>26250000</v>
      </c>
      <c r="H291" s="79">
        <v>6550000</v>
      </c>
      <c r="I291" s="15">
        <f>+G291+H291</f>
        <v>32800000</v>
      </c>
      <c r="J291" s="16">
        <f>+I291/D291</f>
        <v>0.82</v>
      </c>
      <c r="K291" s="80">
        <v>25488500</v>
      </c>
      <c r="L291" s="80">
        <v>5841500</v>
      </c>
      <c r="M291" s="80">
        <f>+K291+L291</f>
        <v>31330000</v>
      </c>
      <c r="N291" s="16">
        <f>+M291/D291</f>
        <v>0.78325</v>
      </c>
      <c r="O291" s="80">
        <f>+D291-I291</f>
        <v>7200000</v>
      </c>
      <c r="P291" s="77"/>
      <c r="Q291" s="6" t="str">
        <f t="shared" si="146"/>
        <v>OKE</v>
      </c>
      <c r="R291" s="6"/>
    </row>
    <row r="292" spans="1:18" ht="15" hidden="1" thickBot="1" x14ac:dyDescent="0.25">
      <c r="A292" s="74"/>
      <c r="B292" s="74"/>
      <c r="C292" s="76"/>
      <c r="D292" s="15"/>
      <c r="E292" s="15"/>
      <c r="F292" s="15"/>
      <c r="G292" s="80"/>
      <c r="H292" s="79"/>
      <c r="I292" s="80"/>
      <c r="J292" s="80"/>
      <c r="K292" s="80"/>
      <c r="L292" s="76"/>
      <c r="M292" s="76"/>
      <c r="N292" s="76"/>
      <c r="O292" s="76"/>
      <c r="P292" s="77"/>
      <c r="Q292" s="6" t="str">
        <f t="shared" si="146"/>
        <v>OKE</v>
      </c>
      <c r="R292" s="6"/>
    </row>
    <row r="293" spans="1:18" ht="15" hidden="1" thickBot="1" x14ac:dyDescent="0.25">
      <c r="A293" s="74"/>
      <c r="B293" s="74"/>
      <c r="C293" s="9" t="s">
        <v>48</v>
      </c>
      <c r="D293" s="10">
        <f>+D291+D289+D287+D282</f>
        <v>352575000</v>
      </c>
      <c r="E293" s="10"/>
      <c r="F293" s="10"/>
      <c r="G293" s="10">
        <f>+G291+G289+G287+G282</f>
        <v>130595000</v>
      </c>
      <c r="H293" s="11">
        <f>+H291+H289+H287+H282</f>
        <v>200225000</v>
      </c>
      <c r="I293" s="10">
        <f>+G293+H293</f>
        <v>330820000</v>
      </c>
      <c r="J293" s="12">
        <f>+I293/D293</f>
        <v>0.9382968162802241</v>
      </c>
      <c r="K293" s="10">
        <f>+K291+K289+K287+K282</f>
        <v>124051000</v>
      </c>
      <c r="L293" s="10">
        <f>+L291+L289+L287+L282</f>
        <v>199372700</v>
      </c>
      <c r="M293" s="10">
        <f>+K293+L293</f>
        <v>323423700</v>
      </c>
      <c r="N293" s="12">
        <f>+M293/D293</f>
        <v>0.91731886832588816</v>
      </c>
      <c r="O293" s="10">
        <f>+D293-I293</f>
        <v>21755000</v>
      </c>
      <c r="P293" s="77"/>
      <c r="Q293" s="6" t="str">
        <f t="shared" si="146"/>
        <v>OKE</v>
      </c>
      <c r="R293" s="6"/>
    </row>
    <row r="294" spans="1:18" ht="15" hidden="1" thickBot="1" x14ac:dyDescent="0.25">
      <c r="A294" s="85"/>
      <c r="B294" s="85"/>
      <c r="C294" s="34" t="s">
        <v>31</v>
      </c>
      <c r="D294" s="35"/>
      <c r="E294" s="35"/>
      <c r="F294" s="35"/>
      <c r="G294" s="259"/>
      <c r="H294" s="260"/>
      <c r="I294" s="259"/>
      <c r="J294" s="259"/>
      <c r="K294" s="259"/>
      <c r="L294" s="261"/>
      <c r="M294" s="261"/>
      <c r="N294" s="261"/>
      <c r="O294" s="261"/>
      <c r="P294" s="77"/>
      <c r="Q294" s="6" t="str">
        <f t="shared" si="146"/>
        <v>OKE</v>
      </c>
      <c r="R294" s="6"/>
    </row>
    <row r="295" spans="1:18" ht="15" hidden="1" thickBot="1" x14ac:dyDescent="0.25">
      <c r="A295" s="74"/>
      <c r="B295" s="74"/>
      <c r="C295" s="76"/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46"/>
        <v>OKE</v>
      </c>
      <c r="R295" s="6"/>
    </row>
    <row r="296" spans="1:18" ht="15" hidden="1" thickBot="1" x14ac:dyDescent="0.25">
      <c r="A296" s="7" t="s">
        <v>32</v>
      </c>
      <c r="B296" s="7" t="s">
        <v>33</v>
      </c>
      <c r="C296" s="9" t="s">
        <v>83</v>
      </c>
      <c r="D296" s="10">
        <f>+D299</f>
        <v>75000000</v>
      </c>
      <c r="E296" s="10"/>
      <c r="F296" s="10"/>
      <c r="G296" s="10">
        <f>+G299</f>
        <v>45335300</v>
      </c>
      <c r="H296" s="11">
        <f>+H299</f>
        <v>26800000</v>
      </c>
      <c r="I296" s="10">
        <f>+G296+H296</f>
        <v>72135300</v>
      </c>
      <c r="J296" s="12">
        <f>+I296/D296</f>
        <v>0.96180399999999999</v>
      </c>
      <c r="K296" s="10">
        <f>+K299</f>
        <v>43643800</v>
      </c>
      <c r="L296" s="10">
        <f>+L299</f>
        <v>24769900</v>
      </c>
      <c r="M296" s="10">
        <f>+K296+L296</f>
        <v>68413700</v>
      </c>
      <c r="N296" s="12">
        <f>+M296/D296</f>
        <v>0.9121826666666667</v>
      </c>
      <c r="O296" s="10">
        <f>+D296-I296</f>
        <v>2864700</v>
      </c>
      <c r="P296" s="77"/>
      <c r="Q296" s="6" t="str">
        <f t="shared" si="146"/>
        <v>OKE</v>
      </c>
      <c r="R296" s="6"/>
    </row>
    <row r="297" spans="1:18" ht="15" hidden="1" thickBot="1" x14ac:dyDescent="0.25">
      <c r="A297" s="74"/>
      <c r="B297" s="74"/>
      <c r="C297" s="9" t="s">
        <v>49</v>
      </c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46"/>
        <v>OKE</v>
      </c>
      <c r="R297" s="6"/>
    </row>
    <row r="298" spans="1:18" ht="15" hidden="1" thickBot="1" x14ac:dyDescent="0.25">
      <c r="A298" s="74"/>
      <c r="B298" s="74"/>
      <c r="C298" s="76"/>
      <c r="D298" s="15"/>
      <c r="E298" s="15"/>
      <c r="F298" s="15"/>
      <c r="G298" s="80"/>
      <c r="H298" s="79"/>
      <c r="I298" s="80"/>
      <c r="J298" s="80"/>
      <c r="K298" s="80"/>
      <c r="L298" s="76"/>
      <c r="M298" s="76"/>
      <c r="N298" s="76"/>
      <c r="O298" s="76"/>
      <c r="P298" s="77"/>
      <c r="Q298" s="6" t="str">
        <f t="shared" si="146"/>
        <v>OKE</v>
      </c>
      <c r="R298" s="6"/>
    </row>
    <row r="299" spans="1:18" ht="15" hidden="1" thickBot="1" x14ac:dyDescent="0.25">
      <c r="A299" s="74">
        <v>5</v>
      </c>
      <c r="B299" s="75" t="s">
        <v>34</v>
      </c>
      <c r="C299" s="8" t="s">
        <v>35</v>
      </c>
      <c r="D299" s="15">
        <v>75000000</v>
      </c>
      <c r="E299" s="15"/>
      <c r="F299" s="15"/>
      <c r="G299" s="80">
        <v>45335300</v>
      </c>
      <c r="H299" s="79">
        <v>26800000</v>
      </c>
      <c r="I299" s="15">
        <f>+G299+H299</f>
        <v>72135300</v>
      </c>
      <c r="J299" s="16">
        <f>+I299/D299</f>
        <v>0.96180399999999999</v>
      </c>
      <c r="K299" s="80">
        <v>43643800</v>
      </c>
      <c r="L299" s="80">
        <v>24769900</v>
      </c>
      <c r="M299" s="80">
        <f>+K299+L299</f>
        <v>68413700</v>
      </c>
      <c r="N299" s="16">
        <f>+M299/D299</f>
        <v>0.9121826666666667</v>
      </c>
      <c r="O299" s="80">
        <f>+D299-I299</f>
        <v>2864700</v>
      </c>
      <c r="P299" s="77"/>
      <c r="Q299" s="6" t="str">
        <f t="shared" si="146"/>
        <v>OKE</v>
      </c>
      <c r="R299" s="6"/>
    </row>
    <row r="300" spans="1:18" ht="15" hidden="1" thickBot="1" x14ac:dyDescent="0.25">
      <c r="A300" s="74"/>
      <c r="B300" s="74"/>
      <c r="C300" s="76"/>
      <c r="D300" s="15"/>
      <c r="E300" s="15"/>
      <c r="F300" s="15"/>
      <c r="G300" s="80"/>
      <c r="H300" s="79"/>
      <c r="I300" s="80"/>
      <c r="J300" s="80"/>
      <c r="K300" s="80"/>
      <c r="L300" s="76"/>
      <c r="M300" s="76"/>
      <c r="N300" s="76"/>
      <c r="O300" s="76"/>
      <c r="P300" s="77"/>
      <c r="Q300" s="6" t="str">
        <f t="shared" si="146"/>
        <v>OKE</v>
      </c>
      <c r="R300" s="6"/>
    </row>
    <row r="301" spans="1:18" ht="15" hidden="1" thickBot="1" x14ac:dyDescent="0.25">
      <c r="A301" s="74"/>
      <c r="B301" s="74"/>
      <c r="C301" s="9" t="s">
        <v>65</v>
      </c>
      <c r="D301" s="10">
        <f>+D299</f>
        <v>75000000</v>
      </c>
      <c r="E301" s="10"/>
      <c r="F301" s="10"/>
      <c r="G301" s="10">
        <f>+G299</f>
        <v>45335300</v>
      </c>
      <c r="H301" s="11">
        <f>+H299</f>
        <v>26800000</v>
      </c>
      <c r="I301" s="10">
        <f>+G301+H301</f>
        <v>72135300</v>
      </c>
      <c r="J301" s="12">
        <f>+I301/D301</f>
        <v>0.96180399999999999</v>
      </c>
      <c r="K301" s="10">
        <f>+K299</f>
        <v>43643800</v>
      </c>
      <c r="L301" s="10">
        <f>+L299</f>
        <v>24769900</v>
      </c>
      <c r="M301" s="10">
        <f>+K301+L301</f>
        <v>68413700</v>
      </c>
      <c r="N301" s="12">
        <f>+M301/D301</f>
        <v>0.9121826666666667</v>
      </c>
      <c r="O301" s="10">
        <f>+D301-I301</f>
        <v>2864700</v>
      </c>
      <c r="P301" s="77"/>
      <c r="Q301" s="6" t="str">
        <f t="shared" si="146"/>
        <v>OKE</v>
      </c>
      <c r="R301" s="6"/>
    </row>
    <row r="302" spans="1:18" ht="15" hidden="1" thickBot="1" x14ac:dyDescent="0.25">
      <c r="A302" s="81"/>
      <c r="B302" s="81"/>
      <c r="C302" s="23" t="s">
        <v>66</v>
      </c>
      <c r="D302" s="32"/>
      <c r="E302" s="32"/>
      <c r="F302" s="32"/>
      <c r="G302" s="252"/>
      <c r="H302" s="253"/>
      <c r="I302" s="252"/>
      <c r="J302" s="252"/>
      <c r="K302" s="252"/>
      <c r="L302" s="251"/>
      <c r="M302" s="251"/>
      <c r="N302" s="251"/>
      <c r="O302" s="251"/>
      <c r="P302" s="77"/>
      <c r="Q302" s="6" t="str">
        <f t="shared" si="146"/>
        <v>OKE</v>
      </c>
      <c r="R302" s="6"/>
    </row>
    <row r="303" spans="1:18" ht="15" hidden="1" thickBot="1" x14ac:dyDescent="0.25"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46"/>
        <v>OKE</v>
      </c>
      <c r="R303" s="6"/>
    </row>
    <row r="304" spans="1:18" ht="15" hidden="1" thickBot="1" x14ac:dyDescent="0.25"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46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46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46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46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46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46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46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6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6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6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6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6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6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6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6"/>
        <v>OKE</v>
      </c>
      <c r="R318" s="6"/>
    </row>
    <row r="319" spans="1:18" ht="15" hidden="1" thickBot="1" x14ac:dyDescent="0.25">
      <c r="A319" s="77"/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6"/>
        <v>OKE</v>
      </c>
      <c r="R319" s="6"/>
    </row>
    <row r="320" spans="1:18" ht="15" hidden="1" thickBot="1" x14ac:dyDescent="0.25">
      <c r="A320" s="77"/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6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6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6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6"/>
        <v>OKE</v>
      </c>
      <c r="R323" s="6"/>
    </row>
    <row r="324" spans="1:18" ht="15" hidden="1" thickBot="1" x14ac:dyDescent="0.25">
      <c r="B324" s="88"/>
      <c r="C324" s="77"/>
      <c r="D324" s="31"/>
      <c r="E324" s="31"/>
      <c r="F324" s="31"/>
      <c r="G324" s="179"/>
      <c r="H324" s="258"/>
      <c r="I324" s="179"/>
      <c r="J324" s="179"/>
      <c r="K324" s="179"/>
      <c r="L324" s="77"/>
      <c r="M324" s="77"/>
      <c r="N324" s="77"/>
      <c r="O324" s="77"/>
      <c r="P324" s="77"/>
      <c r="Q324" s="6" t="str">
        <f t="shared" si="146"/>
        <v>OKE</v>
      </c>
      <c r="R324" s="6"/>
    </row>
    <row r="325" spans="1:18" ht="15" hidden="1" thickBot="1" x14ac:dyDescent="0.25">
      <c r="B325" s="88"/>
      <c r="C325" s="77"/>
      <c r="D325" s="31"/>
      <c r="E325" s="31"/>
      <c r="F325" s="31"/>
      <c r="G325" s="179"/>
      <c r="H325" s="258"/>
      <c r="I325" s="179"/>
      <c r="J325" s="179"/>
      <c r="K325" s="179"/>
      <c r="L325" s="77"/>
      <c r="M325" s="77"/>
      <c r="N325" s="77"/>
      <c r="O325" s="77"/>
      <c r="P325" s="77"/>
      <c r="Q325" s="6" t="str">
        <f t="shared" si="146"/>
        <v>OKE</v>
      </c>
      <c r="R325" s="6"/>
    </row>
    <row r="326" spans="1:18" ht="15" hidden="1" thickBot="1" x14ac:dyDescent="0.25">
      <c r="A326" s="407"/>
      <c r="B326" s="407"/>
      <c r="C326" s="407"/>
      <c r="D326" s="407"/>
      <c r="E326" s="407"/>
      <c r="F326" s="407"/>
      <c r="G326" s="407"/>
      <c r="H326" s="407"/>
      <c r="I326" s="407"/>
      <c r="J326" s="407"/>
      <c r="K326" s="407"/>
      <c r="L326" s="407"/>
      <c r="M326" s="407"/>
      <c r="N326" s="407"/>
      <c r="O326" s="407"/>
      <c r="P326" s="77"/>
      <c r="Q326" s="6" t="str">
        <f t="shared" si="146"/>
        <v>OKE</v>
      </c>
      <c r="R326" s="6"/>
    </row>
    <row r="327" spans="1:18" ht="14.1" hidden="1" customHeight="1" x14ac:dyDescent="0.2">
      <c r="A327" s="361" t="s">
        <v>2</v>
      </c>
      <c r="B327" s="361" t="s">
        <v>3</v>
      </c>
      <c r="C327" s="361" t="s">
        <v>4</v>
      </c>
      <c r="D327" s="361" t="s">
        <v>5</v>
      </c>
      <c r="E327" s="197"/>
      <c r="F327" s="197"/>
      <c r="G327" s="358" t="s">
        <v>11</v>
      </c>
      <c r="H327" s="359"/>
      <c r="I327" s="359"/>
      <c r="J327" s="360"/>
      <c r="K327" s="358" t="s">
        <v>9</v>
      </c>
      <c r="L327" s="359"/>
      <c r="M327" s="359"/>
      <c r="N327" s="360"/>
      <c r="O327" s="361" t="s">
        <v>10</v>
      </c>
      <c r="P327" s="77"/>
      <c r="Q327" s="6" t="str">
        <f t="shared" si="146"/>
        <v>OKE</v>
      </c>
      <c r="R327" s="6"/>
    </row>
    <row r="328" spans="1:18" ht="14.1" hidden="1" customHeight="1" x14ac:dyDescent="0.2">
      <c r="A328" s="362"/>
      <c r="B328" s="362"/>
      <c r="C328" s="362"/>
      <c r="D328" s="362"/>
      <c r="E328" s="44"/>
      <c r="F328" s="44"/>
      <c r="G328" s="358" t="s">
        <v>74</v>
      </c>
      <c r="H328" s="359"/>
      <c r="I328" s="359"/>
      <c r="J328" s="360"/>
      <c r="K328" s="358" t="s">
        <v>12</v>
      </c>
      <c r="L328" s="359"/>
      <c r="M328" s="359"/>
      <c r="N328" s="360"/>
      <c r="O328" s="362"/>
      <c r="P328" s="77"/>
      <c r="Q328" s="6" t="str">
        <f t="shared" si="146"/>
        <v>OKE</v>
      </c>
      <c r="R328" s="6"/>
    </row>
    <row r="329" spans="1:18" ht="15" hidden="1" thickBot="1" x14ac:dyDescent="0.25">
      <c r="A329" s="378"/>
      <c r="B329" s="378"/>
      <c r="C329" s="378"/>
      <c r="D329" s="378"/>
      <c r="E329" s="196"/>
      <c r="F329" s="196"/>
      <c r="G329" s="144" t="s">
        <v>13</v>
      </c>
      <c r="H329" s="145" t="s">
        <v>14</v>
      </c>
      <c r="I329" s="144" t="s">
        <v>15</v>
      </c>
      <c r="J329" s="144" t="s">
        <v>16</v>
      </c>
      <c r="K329" s="144" t="s">
        <v>13</v>
      </c>
      <c r="L329" s="144" t="s">
        <v>14</v>
      </c>
      <c r="M329" s="144" t="s">
        <v>15</v>
      </c>
      <c r="N329" s="144" t="s">
        <v>16</v>
      </c>
      <c r="O329" s="378"/>
      <c r="P329" s="77"/>
      <c r="Q329" s="6" t="str">
        <f t="shared" si="146"/>
        <v>OKE</v>
      </c>
      <c r="R329" s="6"/>
    </row>
    <row r="330" spans="1:18" ht="15" hidden="1" thickBot="1" x14ac:dyDescent="0.25">
      <c r="A330" s="2">
        <v>1</v>
      </c>
      <c r="B330" s="2">
        <v>2</v>
      </c>
      <c r="C330" s="2">
        <v>3</v>
      </c>
      <c r="D330" s="2">
        <v>4</v>
      </c>
      <c r="E330" s="2"/>
      <c r="F330" s="2"/>
      <c r="G330" s="2">
        <v>5</v>
      </c>
      <c r="H330" s="145">
        <v>6</v>
      </c>
      <c r="I330" s="45" t="s">
        <v>77</v>
      </c>
      <c r="J330" s="45" t="s">
        <v>78</v>
      </c>
      <c r="K330" s="45">
        <v>9</v>
      </c>
      <c r="L330" s="45">
        <v>10</v>
      </c>
      <c r="M330" s="45" t="s">
        <v>79</v>
      </c>
      <c r="N330" s="45" t="s">
        <v>80</v>
      </c>
      <c r="O330" s="45" t="s">
        <v>81</v>
      </c>
      <c r="P330" s="77"/>
      <c r="Q330" s="6" t="str">
        <f t="shared" si="146"/>
        <v>OKE</v>
      </c>
      <c r="R330" s="6"/>
    </row>
    <row r="331" spans="1:18" ht="15" hidden="1" thickBot="1" x14ac:dyDescent="0.25">
      <c r="A331" s="74"/>
      <c r="B331" s="76"/>
      <c r="C331" s="76"/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241"/>
      <c r="O331" s="241"/>
      <c r="P331" s="77"/>
      <c r="Q331" s="6" t="str">
        <f t="shared" si="146"/>
        <v>OKE</v>
      </c>
      <c r="R331" s="6"/>
    </row>
    <row r="332" spans="1:18" ht="15" hidden="1" thickBot="1" x14ac:dyDescent="0.25">
      <c r="A332" s="74"/>
      <c r="B332" s="76"/>
      <c r="C332" s="244" t="s">
        <v>82</v>
      </c>
      <c r="D332" s="8"/>
      <c r="E332" s="8"/>
      <c r="F332" s="8"/>
      <c r="G332" s="76"/>
      <c r="H332" s="82"/>
      <c r="I332" s="76"/>
      <c r="J332" s="76"/>
      <c r="K332" s="76"/>
      <c r="L332" s="76"/>
      <c r="M332" s="76"/>
      <c r="N332" s="76"/>
      <c r="O332" s="76"/>
      <c r="P332" s="77"/>
      <c r="Q332" s="6" t="str">
        <f t="shared" si="146"/>
        <v>OKE</v>
      </c>
      <c r="R332" s="6"/>
    </row>
    <row r="333" spans="1:18" ht="15" hidden="1" thickBot="1" x14ac:dyDescent="0.25">
      <c r="A333" s="74"/>
      <c r="B333" s="76"/>
      <c r="C333" s="76"/>
      <c r="D333" s="8"/>
      <c r="E333" s="8"/>
      <c r="F333" s="8"/>
      <c r="G333" s="76"/>
      <c r="H333" s="82"/>
      <c r="I333" s="76"/>
      <c r="J333" s="76"/>
      <c r="K333" s="76"/>
      <c r="L333" s="76"/>
      <c r="M333" s="76"/>
      <c r="N333" s="76"/>
      <c r="O333" s="76"/>
      <c r="P333" s="77"/>
      <c r="Q333" s="6" t="str">
        <f t="shared" si="146"/>
        <v>OKE</v>
      </c>
      <c r="R333" s="6"/>
    </row>
    <row r="334" spans="1:18" ht="15" hidden="1" thickBot="1" x14ac:dyDescent="0.25">
      <c r="A334" s="7" t="s">
        <v>38</v>
      </c>
      <c r="B334" s="7" t="s">
        <v>75</v>
      </c>
      <c r="C334" s="9" t="s">
        <v>84</v>
      </c>
      <c r="D334" s="10">
        <f>+D337+D340+D342+D344</f>
        <v>253000000</v>
      </c>
      <c r="E334" s="10"/>
      <c r="F334" s="10"/>
      <c r="G334" s="10">
        <f>+G337+G340+G342+G344</f>
        <v>196063600</v>
      </c>
      <c r="H334" s="11">
        <f>+H337+H340+H342+H344</f>
        <v>54435500</v>
      </c>
      <c r="I334" s="10">
        <f>+G334+H334</f>
        <v>250499100</v>
      </c>
      <c r="J334" s="12">
        <f>+I334/D334</f>
        <v>0.99011501976284588</v>
      </c>
      <c r="K334" s="10">
        <f>+K337+K340+K342+K344</f>
        <v>195569100</v>
      </c>
      <c r="L334" s="10">
        <f>+L337+L340+L342+L344</f>
        <v>54908000</v>
      </c>
      <c r="M334" s="10">
        <f>+K334+L334</f>
        <v>250477100</v>
      </c>
      <c r="N334" s="12">
        <f>+M334/D334</f>
        <v>0.9900280632411067</v>
      </c>
      <c r="O334" s="10">
        <f>+D334-I334</f>
        <v>2500900</v>
      </c>
      <c r="P334" s="77"/>
      <c r="Q334" s="6" t="str">
        <f t="shared" si="146"/>
        <v>OKE</v>
      </c>
      <c r="R334" s="6"/>
    </row>
    <row r="335" spans="1:18" ht="15" hidden="1" thickBot="1" x14ac:dyDescent="0.25">
      <c r="A335" s="74"/>
      <c r="B335" s="74"/>
      <c r="C335" s="9" t="s">
        <v>85</v>
      </c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46"/>
        <v>OKE</v>
      </c>
      <c r="R335" s="6"/>
    </row>
    <row r="336" spans="1:18" ht="15" hidden="1" thickBot="1" x14ac:dyDescent="0.25">
      <c r="A336" s="74"/>
      <c r="B336" s="74"/>
      <c r="C336" s="76"/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46"/>
        <v>OKE</v>
      </c>
      <c r="R336" s="6"/>
    </row>
    <row r="337" spans="1:18" ht="15" hidden="1" thickBot="1" x14ac:dyDescent="0.25">
      <c r="A337" s="74">
        <v>6</v>
      </c>
      <c r="B337" s="75" t="s">
        <v>39</v>
      </c>
      <c r="C337" s="8" t="s">
        <v>86</v>
      </c>
      <c r="D337" s="15">
        <v>38000000</v>
      </c>
      <c r="E337" s="15"/>
      <c r="F337" s="15"/>
      <c r="G337" s="80">
        <v>37612500</v>
      </c>
      <c r="H337" s="79">
        <v>0</v>
      </c>
      <c r="I337" s="15">
        <f>+G337+H337</f>
        <v>37612500</v>
      </c>
      <c r="J337" s="16">
        <f>+I337/D337</f>
        <v>0.98980263157894732</v>
      </c>
      <c r="K337" s="80">
        <v>37612500</v>
      </c>
      <c r="L337" s="80">
        <v>0</v>
      </c>
      <c r="M337" s="80">
        <f>+K337+L337</f>
        <v>37612500</v>
      </c>
      <c r="N337" s="16">
        <f>+M337/D337</f>
        <v>0.98980263157894732</v>
      </c>
      <c r="O337" s="80">
        <f>+D337-I337</f>
        <v>387500</v>
      </c>
      <c r="P337" s="77"/>
      <c r="Q337" s="6" t="str">
        <f t="shared" si="146"/>
        <v>OKE</v>
      </c>
      <c r="R337" s="6"/>
    </row>
    <row r="338" spans="1:18" ht="15" hidden="1" thickBot="1" x14ac:dyDescent="0.25">
      <c r="A338" s="74"/>
      <c r="B338" s="74"/>
      <c r="C338" s="8" t="s">
        <v>52</v>
      </c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46"/>
        <v>OKE</v>
      </c>
      <c r="R338" s="6"/>
    </row>
    <row r="339" spans="1:18" ht="15" hidden="1" thickBot="1" x14ac:dyDescent="0.25">
      <c r="A339" s="74"/>
      <c r="B339" s="74"/>
      <c r="C339" s="8"/>
      <c r="D339" s="15"/>
      <c r="E339" s="15"/>
      <c r="F339" s="15"/>
      <c r="G339" s="80"/>
      <c r="H339" s="79"/>
      <c r="I339" s="80"/>
      <c r="J339" s="80"/>
      <c r="K339" s="80"/>
      <c r="L339" s="76"/>
      <c r="M339" s="76"/>
      <c r="N339" s="76"/>
      <c r="O339" s="76"/>
      <c r="P339" s="77"/>
      <c r="Q339" s="6" t="str">
        <f t="shared" si="146"/>
        <v>OKE</v>
      </c>
      <c r="R339" s="6"/>
    </row>
    <row r="340" spans="1:18" ht="15" hidden="1" thickBot="1" x14ac:dyDescent="0.25">
      <c r="A340" s="74">
        <v>7</v>
      </c>
      <c r="B340" s="75" t="s">
        <v>42</v>
      </c>
      <c r="C340" s="8" t="s">
        <v>53</v>
      </c>
      <c r="D340" s="15">
        <v>60000000</v>
      </c>
      <c r="E340" s="15"/>
      <c r="F340" s="15"/>
      <c r="G340" s="80">
        <v>59091100</v>
      </c>
      <c r="H340" s="79">
        <v>0</v>
      </c>
      <c r="I340" s="15">
        <f>+G340+H340</f>
        <v>59091100</v>
      </c>
      <c r="J340" s="16">
        <f>+I340/D340</f>
        <v>0.98485166666666668</v>
      </c>
      <c r="K340" s="80">
        <v>59091100</v>
      </c>
      <c r="L340" s="80">
        <v>0</v>
      </c>
      <c r="M340" s="80">
        <f>+K340+L340</f>
        <v>59091100</v>
      </c>
      <c r="N340" s="16">
        <f>+M340/D340</f>
        <v>0.98485166666666668</v>
      </c>
      <c r="O340" s="80">
        <f>+D340-I340</f>
        <v>908900</v>
      </c>
      <c r="P340" s="77"/>
      <c r="Q340" s="6" t="str">
        <f t="shared" si="146"/>
        <v>OKE</v>
      </c>
      <c r="R340" s="6"/>
    </row>
    <row r="341" spans="1:18" ht="15" hidden="1" thickBot="1" x14ac:dyDescent="0.25">
      <c r="A341" s="74"/>
      <c r="B341" s="74"/>
      <c r="C341" s="8"/>
      <c r="D341" s="15"/>
      <c r="E341" s="15"/>
      <c r="F341" s="15"/>
      <c r="G341" s="80"/>
      <c r="H341" s="79"/>
      <c r="I341" s="80"/>
      <c r="J341" s="80"/>
      <c r="K341" s="80"/>
      <c r="L341" s="76"/>
      <c r="M341" s="76"/>
      <c r="N341" s="76"/>
      <c r="O341" s="76"/>
      <c r="P341" s="77"/>
      <c r="Q341" s="6" t="str">
        <f t="shared" si="146"/>
        <v>OKE</v>
      </c>
      <c r="R341" s="6"/>
    </row>
    <row r="342" spans="1:18" ht="15" hidden="1" thickBot="1" x14ac:dyDescent="0.25">
      <c r="A342" s="74">
        <v>8</v>
      </c>
      <c r="B342" s="75" t="s">
        <v>24</v>
      </c>
      <c r="C342" s="8" t="s">
        <v>87</v>
      </c>
      <c r="D342" s="15">
        <v>65000000</v>
      </c>
      <c r="E342" s="15"/>
      <c r="F342" s="15"/>
      <c r="G342" s="80">
        <v>38340000</v>
      </c>
      <c r="H342" s="79">
        <v>25460000</v>
      </c>
      <c r="I342" s="15">
        <f>+G342+H342</f>
        <v>63800000</v>
      </c>
      <c r="J342" s="16">
        <f>+I342/D342</f>
        <v>0.98153846153846158</v>
      </c>
      <c r="K342" s="80">
        <v>37852500</v>
      </c>
      <c r="L342" s="80">
        <v>25932500</v>
      </c>
      <c r="M342" s="80">
        <f>+K342+L342</f>
        <v>63785000</v>
      </c>
      <c r="N342" s="16">
        <f>+M342/D342</f>
        <v>0.98130769230769233</v>
      </c>
      <c r="O342" s="80">
        <f>+D342-I342</f>
        <v>1200000</v>
      </c>
      <c r="P342" s="77"/>
      <c r="Q342" s="6" t="str">
        <f t="shared" si="146"/>
        <v>OKE</v>
      </c>
      <c r="R342" s="6"/>
    </row>
    <row r="343" spans="1:18" ht="15" hidden="1" thickBot="1" x14ac:dyDescent="0.25">
      <c r="A343" s="74"/>
      <c r="B343" s="76"/>
      <c r="C343" s="76"/>
      <c r="D343" s="8"/>
      <c r="E343" s="8"/>
      <c r="F343" s="8"/>
      <c r="G343" s="76"/>
      <c r="H343" s="82"/>
      <c r="I343" s="76"/>
      <c r="J343" s="76"/>
      <c r="K343" s="46"/>
      <c r="L343" s="76"/>
      <c r="M343" s="76"/>
      <c r="N343" s="76"/>
      <c r="O343" s="76"/>
      <c r="P343" s="77"/>
      <c r="Q343" s="6" t="str">
        <f t="shared" si="146"/>
        <v>OKE</v>
      </c>
      <c r="R343" s="6"/>
    </row>
    <row r="344" spans="1:18" ht="15" hidden="1" thickBot="1" x14ac:dyDescent="0.25">
      <c r="A344" s="74">
        <v>9</v>
      </c>
      <c r="B344" s="75" t="s">
        <v>40</v>
      </c>
      <c r="C344" s="76" t="s">
        <v>88</v>
      </c>
      <c r="D344" s="47">
        <v>90000000</v>
      </c>
      <c r="E344" s="47"/>
      <c r="F344" s="47"/>
      <c r="G344" s="80">
        <v>61020000</v>
      </c>
      <c r="H344" s="79">
        <v>28975500</v>
      </c>
      <c r="I344" s="15">
        <f>+G344+H344</f>
        <v>89995500</v>
      </c>
      <c r="J344" s="16">
        <f>+I344/D344</f>
        <v>0.99995000000000001</v>
      </c>
      <c r="K344" s="80">
        <v>61013000</v>
      </c>
      <c r="L344" s="80">
        <v>28975500</v>
      </c>
      <c r="M344" s="80">
        <f>+K344+L344</f>
        <v>89988500</v>
      </c>
      <c r="N344" s="48">
        <v>0.99980000000000002</v>
      </c>
      <c r="O344" s="80">
        <f>+D344-I344</f>
        <v>4500</v>
      </c>
      <c r="P344" s="77"/>
      <c r="Q344" s="6" t="str">
        <f t="shared" si="146"/>
        <v>OKE</v>
      </c>
      <c r="R344" s="6"/>
    </row>
    <row r="345" spans="1:18" ht="15" hidden="1" thickBot="1" x14ac:dyDescent="0.25">
      <c r="A345" s="74"/>
      <c r="B345" s="76"/>
      <c r="C345" s="76"/>
      <c r="D345" s="8"/>
      <c r="E345" s="8"/>
      <c r="F345" s="8"/>
      <c r="G345" s="76"/>
      <c r="H345" s="82"/>
      <c r="I345" s="76"/>
      <c r="J345" s="76"/>
      <c r="K345" s="76"/>
      <c r="L345" s="76"/>
      <c r="M345" s="76"/>
      <c r="N345" s="76"/>
      <c r="O345" s="76"/>
      <c r="P345" s="77"/>
      <c r="Q345" s="6" t="str">
        <f t="shared" si="146"/>
        <v>OKE</v>
      </c>
      <c r="R345" s="6"/>
    </row>
    <row r="346" spans="1:18" ht="15" hidden="1" thickBot="1" x14ac:dyDescent="0.25">
      <c r="A346" s="74"/>
      <c r="B346" s="76"/>
      <c r="C346" s="9" t="s">
        <v>89</v>
      </c>
      <c r="D346" s="10">
        <f>+D344+D342+D340+D337</f>
        <v>253000000</v>
      </c>
      <c r="E346" s="10"/>
      <c r="F346" s="10"/>
      <c r="G346" s="10">
        <f>+G344+G342+G340+G337</f>
        <v>196063600</v>
      </c>
      <c r="H346" s="11">
        <f>+H344+H342+H340+H337</f>
        <v>54435500</v>
      </c>
      <c r="I346" s="10">
        <f>+G346+H346</f>
        <v>250499100</v>
      </c>
      <c r="J346" s="12">
        <f>+I346/D346</f>
        <v>0.99011501976284588</v>
      </c>
      <c r="K346" s="10">
        <f>+K344+K342+K340+K337</f>
        <v>195569100</v>
      </c>
      <c r="L346" s="10">
        <f>+L344+L342+L340+L337</f>
        <v>54908000</v>
      </c>
      <c r="M346" s="10">
        <f>+K346+L346</f>
        <v>250477100</v>
      </c>
      <c r="N346" s="12">
        <f>+M346/D346</f>
        <v>0.9900280632411067</v>
      </c>
      <c r="O346" s="10">
        <f>+D346-I346</f>
        <v>2500900</v>
      </c>
      <c r="P346" s="77"/>
      <c r="Q346" s="6" t="str">
        <f t="shared" si="146"/>
        <v>OKE</v>
      </c>
      <c r="R346" s="6"/>
    </row>
    <row r="347" spans="1:18" ht="15" hidden="1" thickBot="1" x14ac:dyDescent="0.25">
      <c r="A347" s="85"/>
      <c r="B347" s="261"/>
      <c r="C347" s="34" t="s">
        <v>90</v>
      </c>
      <c r="D347" s="49"/>
      <c r="E347" s="49"/>
      <c r="F347" s="49"/>
      <c r="G347" s="261"/>
      <c r="H347" s="262"/>
      <c r="I347" s="261"/>
      <c r="J347" s="261"/>
      <c r="K347" s="261"/>
      <c r="L347" s="261"/>
      <c r="M347" s="261"/>
      <c r="N347" s="261"/>
      <c r="O347" s="261"/>
      <c r="P347" s="77"/>
      <c r="Q347" s="6" t="str">
        <f t="shared" si="146"/>
        <v>OKE</v>
      </c>
      <c r="R347" s="6"/>
    </row>
    <row r="348" spans="1:18" ht="15" hidden="1" thickBot="1" x14ac:dyDescent="0.25">
      <c r="A348" s="74"/>
      <c r="B348" s="76"/>
      <c r="C348" s="76"/>
      <c r="D348" s="8"/>
      <c r="E348" s="8"/>
      <c r="F348" s="8"/>
      <c r="G348" s="76"/>
      <c r="H348" s="82"/>
      <c r="I348" s="76"/>
      <c r="J348" s="76"/>
      <c r="K348" s="76"/>
      <c r="L348" s="76"/>
      <c r="M348" s="76"/>
      <c r="N348" s="76"/>
      <c r="O348" s="76"/>
      <c r="P348" s="50"/>
      <c r="Q348" s="6" t="str">
        <f t="shared" si="146"/>
        <v>OKE</v>
      </c>
      <c r="R348" s="6"/>
    </row>
    <row r="349" spans="1:18" ht="15" hidden="1" thickBot="1" x14ac:dyDescent="0.25">
      <c r="A349" s="7" t="s">
        <v>41</v>
      </c>
      <c r="B349" s="7" t="s">
        <v>54</v>
      </c>
      <c r="C349" s="9" t="s">
        <v>91</v>
      </c>
      <c r="D349" s="10">
        <f>+D352</f>
        <v>105000000</v>
      </c>
      <c r="E349" s="10"/>
      <c r="F349" s="10"/>
      <c r="G349" s="10">
        <f>+G352</f>
        <v>105000000</v>
      </c>
      <c r="H349" s="11">
        <f>+H352</f>
        <v>0</v>
      </c>
      <c r="I349" s="10">
        <f>+G349+H349</f>
        <v>105000000</v>
      </c>
      <c r="J349" s="12">
        <f>+I349/D349</f>
        <v>1</v>
      </c>
      <c r="K349" s="10">
        <f>+K352</f>
        <v>104800000</v>
      </c>
      <c r="L349" s="10">
        <f>+L352</f>
        <v>0</v>
      </c>
      <c r="M349" s="10">
        <f>+K349+L349</f>
        <v>104800000</v>
      </c>
      <c r="N349" s="12">
        <f>+M349/D349</f>
        <v>0.99809523809523815</v>
      </c>
      <c r="O349" s="10">
        <f>+D349-I349</f>
        <v>0</v>
      </c>
      <c r="P349" s="5"/>
      <c r="Q349" s="6" t="str">
        <f t="shared" si="146"/>
        <v>OKE</v>
      </c>
      <c r="R349" s="6"/>
    </row>
    <row r="350" spans="1:18" ht="15" hidden="1" thickBot="1" x14ac:dyDescent="0.25">
      <c r="A350" s="74"/>
      <c r="B350" s="76"/>
      <c r="C350" s="9" t="s">
        <v>92</v>
      </c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ref="Q350:Q413" si="147">IF(M350&lt;=I350,"OKE","Salah")</f>
        <v>OKE</v>
      </c>
      <c r="R350" s="6"/>
    </row>
    <row r="351" spans="1:18" ht="15" hidden="1" thickBot="1" x14ac:dyDescent="0.25">
      <c r="A351" s="74"/>
      <c r="B351" s="76"/>
      <c r="C351" s="76"/>
      <c r="D351" s="15"/>
      <c r="E351" s="15"/>
      <c r="F351" s="15"/>
      <c r="G351" s="80"/>
      <c r="H351" s="79"/>
      <c r="I351" s="80"/>
      <c r="J351" s="80"/>
      <c r="K351" s="80"/>
      <c r="L351" s="76"/>
      <c r="M351" s="76"/>
      <c r="N351" s="76"/>
      <c r="O351" s="76"/>
      <c r="P351" s="5"/>
      <c r="Q351" s="6" t="str">
        <f t="shared" si="147"/>
        <v>OKE</v>
      </c>
      <c r="R351" s="6"/>
    </row>
    <row r="352" spans="1:18" ht="15" hidden="1" thickBot="1" x14ac:dyDescent="0.25">
      <c r="A352" s="74">
        <v>10</v>
      </c>
      <c r="B352" s="75" t="s">
        <v>43</v>
      </c>
      <c r="C352" s="8" t="s">
        <v>93</v>
      </c>
      <c r="D352" s="15">
        <v>105000000</v>
      </c>
      <c r="E352" s="15"/>
      <c r="F352" s="15"/>
      <c r="G352" s="80">
        <v>105000000</v>
      </c>
      <c r="H352" s="79">
        <v>0</v>
      </c>
      <c r="I352" s="15">
        <f>+G352+H352</f>
        <v>105000000</v>
      </c>
      <c r="J352" s="16">
        <f>+I352/D352</f>
        <v>1</v>
      </c>
      <c r="K352" s="80">
        <v>104800000</v>
      </c>
      <c r="L352" s="80">
        <v>0</v>
      </c>
      <c r="M352" s="80">
        <f>+K352+L352</f>
        <v>104800000</v>
      </c>
      <c r="N352" s="16">
        <f>+M352/D352</f>
        <v>0.99809523809523815</v>
      </c>
      <c r="O352" s="80">
        <f>+D352-I352</f>
        <v>0</v>
      </c>
      <c r="P352" s="5"/>
      <c r="Q352" s="6" t="str">
        <f t="shared" si="147"/>
        <v>OKE</v>
      </c>
      <c r="R352" s="6"/>
    </row>
    <row r="353" spans="1:18" ht="15" hidden="1" thickBot="1" x14ac:dyDescent="0.25">
      <c r="A353" s="74"/>
      <c r="B353" s="74"/>
      <c r="C353" s="76"/>
      <c r="D353" s="15"/>
      <c r="E353" s="15"/>
      <c r="F353" s="15"/>
      <c r="G353" s="80"/>
      <c r="H353" s="79"/>
      <c r="I353" s="80"/>
      <c r="J353" s="80"/>
      <c r="K353" s="80"/>
      <c r="L353" s="76"/>
      <c r="M353" s="76"/>
      <c r="N353" s="76"/>
      <c r="O353" s="76"/>
      <c r="P353" s="5"/>
      <c r="Q353" s="6" t="str">
        <f t="shared" si="147"/>
        <v>OKE</v>
      </c>
      <c r="R353" s="6"/>
    </row>
    <row r="354" spans="1:18" ht="15" hidden="1" thickBot="1" x14ac:dyDescent="0.25">
      <c r="A354" s="74"/>
      <c r="B354" s="74"/>
      <c r="C354" s="9" t="s">
        <v>94</v>
      </c>
      <c r="D354" s="10">
        <f>+D352</f>
        <v>105000000</v>
      </c>
      <c r="E354" s="10"/>
      <c r="F354" s="10"/>
      <c r="G354" s="10">
        <f>+G352</f>
        <v>105000000</v>
      </c>
      <c r="H354" s="11">
        <f>+H352</f>
        <v>0</v>
      </c>
      <c r="I354" s="10">
        <f>+G354+H354</f>
        <v>105000000</v>
      </c>
      <c r="J354" s="12">
        <f>+I354/D354</f>
        <v>1</v>
      </c>
      <c r="K354" s="10">
        <f>+K352</f>
        <v>104800000</v>
      </c>
      <c r="L354" s="10">
        <f>+L352</f>
        <v>0</v>
      </c>
      <c r="M354" s="10">
        <f>+K354+L354</f>
        <v>104800000</v>
      </c>
      <c r="N354" s="12">
        <f>+M354/D354</f>
        <v>0.99809523809523815</v>
      </c>
      <c r="O354" s="10">
        <f>+D354-I354</f>
        <v>0</v>
      </c>
      <c r="P354" s="5"/>
      <c r="Q354" s="6" t="str">
        <f t="shared" si="147"/>
        <v>OKE</v>
      </c>
      <c r="R354" s="6"/>
    </row>
    <row r="355" spans="1:18" ht="15" hidden="1" thickBot="1" x14ac:dyDescent="0.25">
      <c r="A355" s="85"/>
      <c r="B355" s="85"/>
      <c r="C355" s="34" t="s">
        <v>55</v>
      </c>
      <c r="D355" s="35"/>
      <c r="E355" s="35"/>
      <c r="F355" s="35"/>
      <c r="G355" s="259"/>
      <c r="H355" s="260"/>
      <c r="I355" s="259"/>
      <c r="J355" s="259"/>
      <c r="K355" s="259"/>
      <c r="L355" s="261"/>
      <c r="M355" s="261"/>
      <c r="N355" s="261"/>
      <c r="O355" s="261"/>
      <c r="P355" s="5"/>
      <c r="Q355" s="6" t="str">
        <f t="shared" si="147"/>
        <v>OKE</v>
      </c>
      <c r="R355" s="6"/>
    </row>
    <row r="356" spans="1:18" ht="15" hidden="1" thickBot="1" x14ac:dyDescent="0.25">
      <c r="A356" s="91"/>
      <c r="B356" s="91"/>
      <c r="C356" s="51"/>
      <c r="D356" s="52"/>
      <c r="E356" s="52"/>
      <c r="F356" s="52"/>
      <c r="G356" s="263"/>
      <c r="H356" s="264"/>
      <c r="I356" s="263"/>
      <c r="J356" s="263"/>
      <c r="K356" s="263"/>
      <c r="L356" s="265"/>
      <c r="M356" s="265"/>
      <c r="N356" s="265"/>
      <c r="O356" s="265"/>
      <c r="P356" s="5"/>
      <c r="Q356" s="6" t="str">
        <f t="shared" si="147"/>
        <v>OKE</v>
      </c>
      <c r="R356" s="6"/>
    </row>
    <row r="357" spans="1:18" ht="15" hidden="1" thickBot="1" x14ac:dyDescent="0.25">
      <c r="A357" s="411" t="s">
        <v>95</v>
      </c>
      <c r="B357" s="411"/>
      <c r="C357" s="413" t="s">
        <v>96</v>
      </c>
      <c r="D357" s="415">
        <f>+D354+D346+D301+D293</f>
        <v>785575000</v>
      </c>
      <c r="E357" s="198"/>
      <c r="F357" s="198"/>
      <c r="G357" s="415">
        <f>+G354+G346+G301+G293</f>
        <v>476993900</v>
      </c>
      <c r="H357" s="417">
        <f>+H354+H346+H301+H293</f>
        <v>281460500</v>
      </c>
      <c r="I357" s="415">
        <f>+G357+H357</f>
        <v>758454400</v>
      </c>
      <c r="J357" s="419">
        <f>+I357/D357</f>
        <v>0.96547675269706901</v>
      </c>
      <c r="K357" s="415">
        <f>+K354+K346+K301+K293</f>
        <v>468063900</v>
      </c>
      <c r="L357" s="415">
        <f>+L354+L346+L301+L293</f>
        <v>279050600</v>
      </c>
      <c r="M357" s="421">
        <f>+K357+L357</f>
        <v>747114500</v>
      </c>
      <c r="N357" s="423">
        <f>+M357/D357</f>
        <v>0.95104159373707153</v>
      </c>
      <c r="O357" s="421">
        <f>+D357-I357</f>
        <v>27120600</v>
      </c>
      <c r="P357" s="5"/>
      <c r="Q357" s="6" t="str">
        <f t="shared" si="147"/>
        <v>OKE</v>
      </c>
      <c r="R357" s="6"/>
    </row>
    <row r="358" spans="1:18" ht="15" hidden="1" thickBot="1" x14ac:dyDescent="0.25">
      <c r="A358" s="412"/>
      <c r="B358" s="412"/>
      <c r="C358" s="414"/>
      <c r="D358" s="416"/>
      <c r="E358" s="199"/>
      <c r="F358" s="199"/>
      <c r="G358" s="416"/>
      <c r="H358" s="418"/>
      <c r="I358" s="416"/>
      <c r="J358" s="420"/>
      <c r="K358" s="416"/>
      <c r="L358" s="416"/>
      <c r="M358" s="422"/>
      <c r="N358" s="424"/>
      <c r="O358" s="422"/>
      <c r="P358" s="5"/>
      <c r="Q358" s="6" t="str">
        <f t="shared" si="147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47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47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47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47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47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47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47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47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47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47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47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47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47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si="147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47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si="147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47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47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47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267"/>
      <c r="M378" s="90"/>
      <c r="N378" s="90"/>
      <c r="O378" s="90"/>
      <c r="P378" s="5"/>
      <c r="Q378" s="6" t="str">
        <f t="shared" si="147"/>
        <v>OKE</v>
      </c>
      <c r="R378" s="6"/>
    </row>
    <row r="379" spans="1:18" ht="15" hidden="1" thickBot="1" x14ac:dyDescent="0.25">
      <c r="A379" s="90"/>
      <c r="B379" s="90"/>
      <c r="C379" s="37"/>
      <c r="D379" s="37"/>
      <c r="E379" s="37"/>
      <c r="F379" s="37"/>
      <c r="G379" s="90"/>
      <c r="H379" s="266"/>
      <c r="I379" s="90"/>
      <c r="J379" s="90"/>
      <c r="K379" s="90"/>
      <c r="L379" s="267"/>
      <c r="M379" s="90"/>
      <c r="N379" s="90"/>
      <c r="O379" s="90"/>
      <c r="P379" s="5"/>
      <c r="Q379" s="6" t="str">
        <f t="shared" si="147"/>
        <v>OKE</v>
      </c>
      <c r="R379" s="6"/>
    </row>
    <row r="380" spans="1:18" ht="15" hidden="1" thickBot="1" x14ac:dyDescent="0.25">
      <c r="A380" s="90"/>
      <c r="B380" s="90"/>
      <c r="C380" s="37"/>
      <c r="D380" s="37"/>
      <c r="E380" s="37"/>
      <c r="F380" s="37"/>
      <c r="G380" s="90"/>
      <c r="H380" s="266"/>
      <c r="I380" s="90"/>
      <c r="J380" s="90"/>
      <c r="K380" s="90"/>
      <c r="L380" s="267"/>
      <c r="M380" s="90"/>
      <c r="N380" s="90"/>
      <c r="O380" s="90"/>
      <c r="P380" s="5"/>
      <c r="Q380" s="6" t="str">
        <f t="shared" si="147"/>
        <v>OKE</v>
      </c>
      <c r="R380" s="6"/>
    </row>
    <row r="381" spans="1:18" ht="14.1" hidden="1" customHeight="1" x14ac:dyDescent="0.2">
      <c r="A381" s="410" t="s">
        <v>0</v>
      </c>
      <c r="B381" s="410"/>
      <c r="C381" s="410"/>
      <c r="D381" s="410"/>
      <c r="E381" s="410"/>
      <c r="F381" s="410"/>
      <c r="G381" s="410"/>
      <c r="H381" s="410"/>
      <c r="I381" s="410"/>
      <c r="J381" s="410"/>
      <c r="K381" s="410"/>
      <c r="L381" s="410"/>
      <c r="M381" s="410"/>
      <c r="N381" s="410"/>
      <c r="O381" s="410"/>
      <c r="P381" s="5"/>
      <c r="Q381" s="6" t="str">
        <f t="shared" si="147"/>
        <v>OKE</v>
      </c>
      <c r="R381" s="6"/>
    </row>
    <row r="382" spans="1:18" ht="14.1" hidden="1" customHeight="1" x14ac:dyDescent="0.2">
      <c r="A382" s="410" t="s">
        <v>1</v>
      </c>
      <c r="B382" s="410"/>
      <c r="C382" s="410"/>
      <c r="D382" s="410"/>
      <c r="E382" s="410"/>
      <c r="F382" s="410"/>
      <c r="G382" s="410"/>
      <c r="H382" s="410"/>
      <c r="I382" s="410"/>
      <c r="J382" s="410"/>
      <c r="K382" s="410"/>
      <c r="L382" s="410"/>
      <c r="M382" s="410"/>
      <c r="N382" s="410"/>
      <c r="O382" s="410"/>
      <c r="P382" s="5"/>
      <c r="Q382" s="6" t="str">
        <f t="shared" si="147"/>
        <v>OKE</v>
      </c>
      <c r="R382" s="6"/>
    </row>
    <row r="383" spans="1:18" ht="14.1" hidden="1" customHeight="1" x14ac:dyDescent="0.2">
      <c r="A383" s="407" t="s">
        <v>111</v>
      </c>
      <c r="B383" s="407"/>
      <c r="C383" s="407"/>
      <c r="D383" s="407"/>
      <c r="E383" s="407"/>
      <c r="F383" s="407"/>
      <c r="G383" s="407"/>
      <c r="H383" s="407"/>
      <c r="I383" s="407"/>
      <c r="J383" s="407"/>
      <c r="K383" s="407"/>
      <c r="L383" s="407"/>
      <c r="M383" s="407"/>
      <c r="N383" s="407"/>
      <c r="O383" s="407"/>
      <c r="P383" s="5"/>
      <c r="Q383" s="6" t="str">
        <f t="shared" si="147"/>
        <v>OKE</v>
      </c>
      <c r="R383" s="6"/>
    </row>
    <row r="384" spans="1:18" ht="14.1" hidden="1" customHeight="1" x14ac:dyDescent="0.2">
      <c r="A384" s="361" t="s">
        <v>2</v>
      </c>
      <c r="B384" s="361" t="s">
        <v>3</v>
      </c>
      <c r="C384" s="361" t="s">
        <v>4</v>
      </c>
      <c r="D384" s="361" t="s">
        <v>5</v>
      </c>
      <c r="E384" s="197"/>
      <c r="F384" s="197"/>
      <c r="G384" s="358" t="s">
        <v>11</v>
      </c>
      <c r="H384" s="359"/>
      <c r="I384" s="359"/>
      <c r="J384" s="360"/>
      <c r="K384" s="358" t="s">
        <v>9</v>
      </c>
      <c r="L384" s="359"/>
      <c r="M384" s="359"/>
      <c r="N384" s="360"/>
      <c r="O384" s="361" t="s">
        <v>10</v>
      </c>
      <c r="P384" s="5"/>
      <c r="Q384" s="6" t="str">
        <f t="shared" si="147"/>
        <v>OKE</v>
      </c>
      <c r="R384" s="6"/>
    </row>
    <row r="385" spans="1:18" ht="14.1" hidden="1" customHeight="1" x14ac:dyDescent="0.2">
      <c r="A385" s="362"/>
      <c r="B385" s="362"/>
      <c r="C385" s="362"/>
      <c r="D385" s="362"/>
      <c r="E385" s="44"/>
      <c r="F385" s="44"/>
      <c r="G385" s="358" t="s">
        <v>74</v>
      </c>
      <c r="H385" s="359"/>
      <c r="I385" s="359"/>
      <c r="J385" s="360"/>
      <c r="K385" s="358" t="s">
        <v>12</v>
      </c>
      <c r="L385" s="359"/>
      <c r="M385" s="359"/>
      <c r="N385" s="360"/>
      <c r="O385" s="362"/>
      <c r="P385" s="5"/>
      <c r="Q385" s="6" t="str">
        <f t="shared" si="147"/>
        <v>OKE</v>
      </c>
      <c r="R385" s="6"/>
    </row>
    <row r="386" spans="1:18" ht="15" hidden="1" thickBot="1" x14ac:dyDescent="0.25">
      <c r="A386" s="378"/>
      <c r="B386" s="378"/>
      <c r="C386" s="378"/>
      <c r="D386" s="378"/>
      <c r="E386" s="196"/>
      <c r="F386" s="196"/>
      <c r="G386" s="144" t="s">
        <v>13</v>
      </c>
      <c r="H386" s="145" t="s">
        <v>14</v>
      </c>
      <c r="I386" s="144" t="s">
        <v>15</v>
      </c>
      <c r="J386" s="144" t="s">
        <v>16</v>
      </c>
      <c r="K386" s="144" t="s">
        <v>13</v>
      </c>
      <c r="L386" s="144" t="s">
        <v>14</v>
      </c>
      <c r="M386" s="144" t="s">
        <v>15</v>
      </c>
      <c r="N386" s="144" t="s">
        <v>16</v>
      </c>
      <c r="O386" s="378"/>
      <c r="P386" s="5"/>
      <c r="Q386" s="6" t="str">
        <f t="shared" si="147"/>
        <v>OKE</v>
      </c>
      <c r="R386" s="6"/>
    </row>
    <row r="387" spans="1:18" ht="15" hidden="1" thickBot="1" x14ac:dyDescent="0.25">
      <c r="A387" s="2">
        <v>1</v>
      </c>
      <c r="B387" s="2">
        <v>2</v>
      </c>
      <c r="C387" s="2">
        <v>3</v>
      </c>
      <c r="D387" s="2">
        <v>4</v>
      </c>
      <c r="E387" s="2"/>
      <c r="F387" s="2"/>
      <c r="G387" s="2">
        <v>5</v>
      </c>
      <c r="H387" s="145">
        <v>6</v>
      </c>
      <c r="I387" s="45" t="s">
        <v>77</v>
      </c>
      <c r="J387" s="45" t="s">
        <v>78</v>
      </c>
      <c r="K387" s="45">
        <v>9</v>
      </c>
      <c r="L387" s="45">
        <v>10</v>
      </c>
      <c r="M387" s="45" t="s">
        <v>79</v>
      </c>
      <c r="N387" s="45" t="s">
        <v>80</v>
      </c>
      <c r="O387" s="45" t="s">
        <v>81</v>
      </c>
      <c r="P387" s="5"/>
      <c r="Q387" s="6" t="str">
        <f t="shared" si="147"/>
        <v>OKE</v>
      </c>
      <c r="R387" s="6"/>
    </row>
    <row r="388" spans="1:18" ht="15" hidden="1" thickBot="1" x14ac:dyDescent="0.25">
      <c r="A388" s="74"/>
      <c r="B388" s="76"/>
      <c r="C388" s="76"/>
      <c r="D388" s="8"/>
      <c r="E388" s="8"/>
      <c r="F388" s="8"/>
      <c r="G388" s="76"/>
      <c r="H388" s="82"/>
      <c r="I388" s="76"/>
      <c r="J388" s="76"/>
      <c r="K388" s="76"/>
      <c r="L388" s="76"/>
      <c r="M388" s="76"/>
      <c r="N388" s="241"/>
      <c r="O388" s="241"/>
      <c r="P388" s="5"/>
      <c r="Q388" s="6" t="str">
        <f t="shared" si="147"/>
        <v>OKE</v>
      </c>
      <c r="R388" s="6"/>
    </row>
    <row r="389" spans="1:18" ht="15" hidden="1" thickBot="1" x14ac:dyDescent="0.25">
      <c r="A389" s="74"/>
      <c r="B389" s="76"/>
      <c r="C389" s="244" t="s">
        <v>97</v>
      </c>
      <c r="D389" s="8"/>
      <c r="E389" s="8"/>
      <c r="F389" s="8"/>
      <c r="G389" s="76"/>
      <c r="H389" s="82"/>
      <c r="I389" s="76"/>
      <c r="J389" s="76"/>
      <c r="K389" s="76"/>
      <c r="L389" s="76"/>
      <c r="M389" s="76"/>
      <c r="N389" s="76"/>
      <c r="O389" s="76"/>
      <c r="P389" s="5"/>
      <c r="Q389" s="6" t="str">
        <f t="shared" si="147"/>
        <v>OKE</v>
      </c>
      <c r="R389" s="6"/>
    </row>
    <row r="390" spans="1:18" ht="15" hidden="1" thickBot="1" x14ac:dyDescent="0.25">
      <c r="A390" s="74"/>
      <c r="B390" s="74"/>
      <c r="C390" s="76"/>
      <c r="D390" s="53"/>
      <c r="E390" s="53"/>
      <c r="F390" s="53"/>
      <c r="G390" s="268"/>
      <c r="H390" s="269"/>
      <c r="I390" s="268"/>
      <c r="J390" s="268"/>
      <c r="K390" s="268"/>
      <c r="L390" s="76"/>
      <c r="M390" s="76"/>
      <c r="N390" s="76"/>
      <c r="O390" s="76"/>
      <c r="P390" s="5"/>
      <c r="Q390" s="6" t="str">
        <f t="shared" si="147"/>
        <v>OKE</v>
      </c>
      <c r="R390" s="6"/>
    </row>
    <row r="391" spans="1:18" ht="15" hidden="1" thickBot="1" x14ac:dyDescent="0.25">
      <c r="A391" s="7" t="s">
        <v>22</v>
      </c>
      <c r="B391" s="7" t="s">
        <v>23</v>
      </c>
      <c r="C391" s="9" t="s">
        <v>45</v>
      </c>
      <c r="D391" s="10">
        <f>+D393+D395+D400+D402+D404+D406+D408+D410</f>
        <v>268080000</v>
      </c>
      <c r="E391" s="10"/>
      <c r="F391" s="10"/>
      <c r="G391" s="10">
        <f>+G393+G395+G400+G402+G404+G406+G408+G410</f>
        <v>133763800</v>
      </c>
      <c r="H391" s="11">
        <f>+H393+H395+H400+H402+H404+H406+H408+H410</f>
        <v>8628300</v>
      </c>
      <c r="I391" s="10">
        <f>+G391+H391</f>
        <v>142392100</v>
      </c>
      <c r="J391" s="12">
        <f>+I391/D391</f>
        <v>0.53115525216353332</v>
      </c>
      <c r="K391" s="10">
        <f>+K393+K395+K400+K402+K404+K406+K408+K410</f>
        <v>114241700</v>
      </c>
      <c r="L391" s="10">
        <f>+L393+L395+L400+L402+L404+L406+L408+L410</f>
        <v>26474800</v>
      </c>
      <c r="M391" s="10">
        <f>+K391+L391</f>
        <v>140716500</v>
      </c>
      <c r="N391" s="12">
        <f>+M391/D391</f>
        <v>0.52490487914055506</v>
      </c>
      <c r="O391" s="10">
        <f>+D391-I391</f>
        <v>125687900</v>
      </c>
      <c r="P391" s="5"/>
      <c r="Q391" s="6" t="str">
        <f t="shared" si="147"/>
        <v>OKE</v>
      </c>
      <c r="R391" s="6"/>
    </row>
    <row r="392" spans="1:18" ht="15" hidden="1" thickBot="1" x14ac:dyDescent="0.25">
      <c r="A392" s="74"/>
      <c r="B392" s="74"/>
      <c r="C392" s="76"/>
      <c r="D392" s="53"/>
      <c r="E392" s="53"/>
      <c r="F392" s="53"/>
      <c r="G392" s="268"/>
      <c r="H392" s="269"/>
      <c r="I392" s="268"/>
      <c r="J392" s="268"/>
      <c r="K392" s="268"/>
      <c r="L392" s="76"/>
      <c r="M392" s="76"/>
      <c r="N392" s="76"/>
      <c r="O392" s="76"/>
      <c r="P392" s="5"/>
      <c r="Q392" s="6" t="str">
        <f t="shared" si="147"/>
        <v>OKE</v>
      </c>
      <c r="R392" s="6"/>
    </row>
    <row r="393" spans="1:18" ht="15" hidden="1" thickBot="1" x14ac:dyDescent="0.25">
      <c r="A393" s="74">
        <v>1</v>
      </c>
      <c r="B393" s="75" t="s">
        <v>43</v>
      </c>
      <c r="C393" s="76" t="s">
        <v>98</v>
      </c>
      <c r="D393" s="15">
        <v>15000000</v>
      </c>
      <c r="E393" s="15"/>
      <c r="F393" s="15"/>
      <c r="G393" s="80">
        <v>11390500</v>
      </c>
      <c r="H393" s="79">
        <v>1097000</v>
      </c>
      <c r="I393" s="15">
        <f>+G393+H393</f>
        <v>12487500</v>
      </c>
      <c r="J393" s="16">
        <f>+I393/D393</f>
        <v>0.83250000000000002</v>
      </c>
      <c r="K393" s="80">
        <v>8898000</v>
      </c>
      <c r="L393" s="80">
        <v>1952000</v>
      </c>
      <c r="M393" s="80">
        <f>+K393+L393</f>
        <v>10850000</v>
      </c>
      <c r="N393" s="16">
        <f>+M393/D393</f>
        <v>0.72333333333333338</v>
      </c>
      <c r="O393" s="80">
        <f>+D393-I393</f>
        <v>2512500</v>
      </c>
      <c r="P393" s="5"/>
      <c r="Q393" s="6" t="str">
        <f t="shared" si="147"/>
        <v>OKE</v>
      </c>
      <c r="R393" s="6"/>
    </row>
    <row r="394" spans="1:18" ht="15" hidden="1" thickBot="1" x14ac:dyDescent="0.25">
      <c r="A394" s="74"/>
      <c r="B394" s="74"/>
      <c r="C394" s="76"/>
      <c r="D394" s="15"/>
      <c r="E394" s="15"/>
      <c r="F394" s="15"/>
      <c r="G394" s="80"/>
      <c r="H394" s="79"/>
      <c r="I394" s="80"/>
      <c r="J394" s="80"/>
      <c r="K394" s="80"/>
      <c r="L394" s="76"/>
      <c r="M394" s="76"/>
      <c r="N394" s="76"/>
      <c r="O394" s="76"/>
      <c r="P394" s="5"/>
      <c r="Q394" s="6" t="str">
        <f t="shared" si="147"/>
        <v>OKE</v>
      </c>
      <c r="R394" s="6"/>
    </row>
    <row r="395" spans="1:18" ht="15" hidden="1" thickBot="1" x14ac:dyDescent="0.25">
      <c r="A395" s="74">
        <v>2</v>
      </c>
      <c r="B395" s="75" t="s">
        <v>39</v>
      </c>
      <c r="C395" s="76" t="s">
        <v>50</v>
      </c>
      <c r="D395" s="15">
        <v>5000000</v>
      </c>
      <c r="E395" s="15"/>
      <c r="F395" s="15"/>
      <c r="G395" s="80">
        <v>4980000</v>
      </c>
      <c r="H395" s="79">
        <v>0</v>
      </c>
      <c r="I395" s="15">
        <f>+G395+H395</f>
        <v>4980000</v>
      </c>
      <c r="J395" s="16">
        <f>+I395/D395</f>
        <v>0.996</v>
      </c>
      <c r="K395" s="80">
        <v>3320000</v>
      </c>
      <c r="L395" s="80">
        <v>1660000</v>
      </c>
      <c r="M395" s="80">
        <f>+K395+L395</f>
        <v>4980000</v>
      </c>
      <c r="N395" s="16">
        <f>+M395/D395</f>
        <v>0.996</v>
      </c>
      <c r="O395" s="80">
        <f>+D395-I395</f>
        <v>20000</v>
      </c>
      <c r="P395" s="5"/>
      <c r="Q395" s="6" t="str">
        <f t="shared" si="147"/>
        <v>OKE</v>
      </c>
      <c r="R395" s="6"/>
    </row>
    <row r="396" spans="1:18" ht="15" hidden="1" thickBot="1" x14ac:dyDescent="0.25">
      <c r="A396" s="74"/>
      <c r="B396" s="75"/>
      <c r="C396" s="76"/>
      <c r="D396" s="15"/>
      <c r="E396" s="15"/>
      <c r="F396" s="15"/>
      <c r="G396" s="80"/>
      <c r="H396" s="79"/>
      <c r="I396" s="15"/>
      <c r="J396" s="16"/>
      <c r="K396" s="80"/>
      <c r="L396" s="80"/>
      <c r="M396" s="80"/>
      <c r="N396" s="16"/>
      <c r="O396" s="80"/>
      <c r="P396" s="5"/>
      <c r="Q396" s="6" t="str">
        <f t="shared" si="147"/>
        <v>OKE</v>
      </c>
      <c r="R396" s="6"/>
    </row>
    <row r="397" spans="1:18" ht="15" hidden="1" thickBot="1" x14ac:dyDescent="0.25">
      <c r="A397" s="74"/>
      <c r="B397" s="18" t="s">
        <v>24</v>
      </c>
      <c r="C397" s="19" t="s">
        <v>25</v>
      </c>
      <c r="D397" s="20">
        <v>77530000</v>
      </c>
      <c r="E397" s="20"/>
      <c r="F397" s="20"/>
      <c r="G397" s="20">
        <v>37840000</v>
      </c>
      <c r="H397" s="21">
        <v>3330000</v>
      </c>
      <c r="I397" s="20">
        <f>+G397+H397</f>
        <v>41170000</v>
      </c>
      <c r="J397" s="22">
        <f>+I397/D397</f>
        <v>0.53102025022571908</v>
      </c>
      <c r="K397" s="20">
        <v>34735000</v>
      </c>
      <c r="L397" s="20">
        <v>2880000</v>
      </c>
      <c r="M397" s="20">
        <f>+K397+L397</f>
        <v>37615000</v>
      </c>
      <c r="N397" s="22">
        <f>+M397/D397</f>
        <v>0.48516703211660001</v>
      </c>
      <c r="O397" s="20">
        <f>+D397-I397</f>
        <v>36360000</v>
      </c>
      <c r="P397" s="5"/>
      <c r="Q397" s="6" t="str">
        <f t="shared" si="147"/>
        <v>OKE</v>
      </c>
      <c r="R397" s="6"/>
    </row>
    <row r="398" spans="1:18" ht="15" hidden="1" thickBot="1" x14ac:dyDescent="0.25">
      <c r="A398" s="74"/>
      <c r="B398" s="18" t="s">
        <v>24</v>
      </c>
      <c r="C398" s="19" t="s">
        <v>28</v>
      </c>
      <c r="D398" s="20">
        <v>-34450000</v>
      </c>
      <c r="E398" s="20"/>
      <c r="F398" s="20"/>
      <c r="G398" s="20"/>
      <c r="H398" s="21">
        <v>-9800000</v>
      </c>
      <c r="I398" s="20"/>
      <c r="J398" s="22"/>
      <c r="K398" s="20"/>
      <c r="L398" s="20">
        <v>-9800000</v>
      </c>
      <c r="M398" s="20"/>
      <c r="N398" s="22"/>
      <c r="O398" s="20"/>
      <c r="P398" s="5"/>
      <c r="Q398" s="6" t="str">
        <f t="shared" si="147"/>
        <v>OKE</v>
      </c>
      <c r="R398" s="6"/>
    </row>
    <row r="399" spans="1:18" ht="15" hidden="1" thickBot="1" x14ac:dyDescent="0.25">
      <c r="A399" s="74"/>
      <c r="B399" s="74"/>
      <c r="C399" s="76"/>
      <c r="D399" s="15"/>
      <c r="E399" s="15"/>
      <c r="F399" s="15"/>
      <c r="G399" s="80"/>
      <c r="H399" s="79"/>
      <c r="I399" s="15"/>
      <c r="J399" s="16"/>
      <c r="K399" s="80"/>
      <c r="L399" s="76"/>
      <c r="M399" s="80"/>
      <c r="N399" s="16"/>
      <c r="O399" s="80"/>
      <c r="P399" s="5"/>
      <c r="Q399" s="6" t="str">
        <f t="shared" si="147"/>
        <v>OKE</v>
      </c>
      <c r="R399" s="6"/>
    </row>
    <row r="400" spans="1:18" ht="15" hidden="1" thickBot="1" x14ac:dyDescent="0.25">
      <c r="A400" s="74">
        <v>4</v>
      </c>
      <c r="B400" s="75" t="s">
        <v>24</v>
      </c>
      <c r="C400" s="76" t="s">
        <v>25</v>
      </c>
      <c r="D400" s="15">
        <v>43080000</v>
      </c>
      <c r="E400" s="15"/>
      <c r="F400" s="15"/>
      <c r="G400" s="80">
        <v>38030000</v>
      </c>
      <c r="H400" s="79">
        <v>0</v>
      </c>
      <c r="I400" s="15">
        <f>+G400+H400</f>
        <v>38030000</v>
      </c>
      <c r="J400" s="16">
        <f>+I400/D400</f>
        <v>0.88277623026926644</v>
      </c>
      <c r="K400" s="80">
        <v>31370000</v>
      </c>
      <c r="L400" s="80">
        <v>6660000</v>
      </c>
      <c r="M400" s="80">
        <f>+K400+L400</f>
        <v>38030000</v>
      </c>
      <c r="N400" s="16">
        <f>+M400/D400</f>
        <v>0.88277623026926644</v>
      </c>
      <c r="O400" s="80">
        <f>+D400-I400</f>
        <v>5050000</v>
      </c>
      <c r="P400" s="5"/>
      <c r="Q400" s="6" t="str">
        <f t="shared" si="147"/>
        <v>OKE</v>
      </c>
      <c r="R400" s="6"/>
    </row>
    <row r="401" spans="1:18" ht="15" hidden="1" thickBot="1" x14ac:dyDescent="0.25">
      <c r="A401" s="74"/>
      <c r="B401" s="74"/>
      <c r="C401" s="76"/>
      <c r="D401" s="15"/>
      <c r="E401" s="15"/>
      <c r="F401" s="15"/>
      <c r="G401" s="80"/>
      <c r="H401" s="79"/>
      <c r="I401" s="80"/>
      <c r="J401" s="80"/>
      <c r="K401" s="80"/>
      <c r="L401" s="76"/>
      <c r="M401" s="76"/>
      <c r="N401" s="76"/>
      <c r="O401" s="76"/>
      <c r="P401" s="5"/>
      <c r="Q401" s="6" t="str">
        <f t="shared" si="147"/>
        <v>OKE</v>
      </c>
      <c r="R401" s="6"/>
    </row>
    <row r="402" spans="1:18" ht="15" hidden="1" thickBot="1" x14ac:dyDescent="0.25">
      <c r="A402" s="74">
        <v>5</v>
      </c>
      <c r="B402" s="75" t="s">
        <v>46</v>
      </c>
      <c r="C402" s="76" t="s">
        <v>47</v>
      </c>
      <c r="D402" s="15">
        <v>30000000</v>
      </c>
      <c r="E402" s="15"/>
      <c r="F402" s="15"/>
      <c r="G402" s="80">
        <v>15789600</v>
      </c>
      <c r="H402" s="79">
        <v>1434200</v>
      </c>
      <c r="I402" s="15">
        <f>+G402+H402</f>
        <v>17223800</v>
      </c>
      <c r="J402" s="16">
        <f>+I402/D402</f>
        <v>0.57412666666666667</v>
      </c>
      <c r="K402" s="80">
        <v>14316300</v>
      </c>
      <c r="L402" s="80">
        <v>2869400</v>
      </c>
      <c r="M402" s="80">
        <f>+K402+L402</f>
        <v>17185700</v>
      </c>
      <c r="N402" s="16">
        <f>+M402/D402</f>
        <v>0.57285666666666668</v>
      </c>
      <c r="O402" s="80">
        <f>+D402-I402</f>
        <v>12776200</v>
      </c>
      <c r="P402" s="5"/>
      <c r="Q402" s="6" t="str">
        <f t="shared" si="147"/>
        <v>OKE</v>
      </c>
      <c r="R402" s="6"/>
    </row>
    <row r="403" spans="1:18" ht="15" hidden="1" thickBot="1" x14ac:dyDescent="0.25">
      <c r="A403" s="74"/>
      <c r="B403" s="74"/>
      <c r="C403" s="76"/>
      <c r="D403" s="15"/>
      <c r="E403" s="15"/>
      <c r="F403" s="15"/>
      <c r="G403" s="80"/>
      <c r="H403" s="79"/>
      <c r="I403" s="80"/>
      <c r="J403" s="80"/>
      <c r="K403" s="80"/>
      <c r="L403" s="76"/>
      <c r="M403" s="76"/>
      <c r="N403" s="76"/>
      <c r="O403" s="76"/>
      <c r="P403" s="5"/>
      <c r="Q403" s="6" t="str">
        <f t="shared" si="147"/>
        <v>OKE</v>
      </c>
      <c r="R403" s="6"/>
    </row>
    <row r="404" spans="1:18" ht="15" hidden="1" thickBot="1" x14ac:dyDescent="0.25">
      <c r="A404" s="74">
        <v>6</v>
      </c>
      <c r="B404" s="75" t="s">
        <v>26</v>
      </c>
      <c r="C404" s="76" t="s">
        <v>27</v>
      </c>
      <c r="D404" s="15">
        <v>98400000</v>
      </c>
      <c r="E404" s="15"/>
      <c r="F404" s="15"/>
      <c r="G404" s="80">
        <v>27741800</v>
      </c>
      <c r="H404" s="79">
        <v>1373600</v>
      </c>
      <c r="I404" s="15">
        <f>+G404+H404</f>
        <v>29115400</v>
      </c>
      <c r="J404" s="16">
        <f>+I404/D404</f>
        <v>0.2958882113821138</v>
      </c>
      <c r="K404" s="80">
        <v>26392700</v>
      </c>
      <c r="L404" s="80">
        <v>2722700</v>
      </c>
      <c r="M404" s="80">
        <f>+K404+L404</f>
        <v>29115400</v>
      </c>
      <c r="N404" s="16">
        <f>+M404/D404</f>
        <v>0.2958882113821138</v>
      </c>
      <c r="O404" s="80">
        <f>+D404-I404</f>
        <v>69284600</v>
      </c>
      <c r="P404" s="5"/>
      <c r="Q404" s="6" t="str">
        <f t="shared" si="147"/>
        <v>OKE</v>
      </c>
      <c r="R404" s="6"/>
    </row>
    <row r="405" spans="1:18" ht="15" hidden="1" thickBot="1" x14ac:dyDescent="0.25">
      <c r="A405" s="74"/>
      <c r="B405" s="75"/>
      <c r="C405" s="76"/>
      <c r="D405" s="15"/>
      <c r="E405" s="15"/>
      <c r="F405" s="15"/>
      <c r="G405" s="80"/>
      <c r="H405" s="79"/>
      <c r="I405" s="10"/>
      <c r="J405" s="16"/>
      <c r="K405" s="80"/>
      <c r="L405" s="93"/>
      <c r="M405" s="80"/>
      <c r="N405" s="16"/>
      <c r="O405" s="80"/>
      <c r="P405" s="5"/>
      <c r="Q405" s="6" t="str">
        <f t="shared" si="147"/>
        <v>OKE</v>
      </c>
      <c r="R405" s="6"/>
    </row>
    <row r="406" spans="1:18" ht="15" hidden="1" thickBot="1" x14ac:dyDescent="0.25">
      <c r="A406" s="74">
        <v>7</v>
      </c>
      <c r="B406" s="75" t="s">
        <v>44</v>
      </c>
      <c r="C406" s="76" t="s">
        <v>57</v>
      </c>
      <c r="D406" s="15">
        <v>5000000</v>
      </c>
      <c r="E406" s="15"/>
      <c r="F406" s="15"/>
      <c r="G406" s="80">
        <v>4999000</v>
      </c>
      <c r="H406" s="79">
        <v>0</v>
      </c>
      <c r="I406" s="15">
        <f>+G406+H406</f>
        <v>4999000</v>
      </c>
      <c r="J406" s="16">
        <v>0.999</v>
      </c>
      <c r="K406" s="80">
        <v>3953500</v>
      </c>
      <c r="L406" s="80">
        <v>1045500</v>
      </c>
      <c r="M406" s="80">
        <f>+K406+L406</f>
        <v>4999000</v>
      </c>
      <c r="N406" s="16">
        <f>+M406/D406</f>
        <v>0.99980000000000002</v>
      </c>
      <c r="O406" s="80">
        <f>+D406-I406</f>
        <v>1000</v>
      </c>
      <c r="P406" s="5"/>
      <c r="Q406" s="6" t="str">
        <f t="shared" si="147"/>
        <v>OKE</v>
      </c>
      <c r="R406" s="6"/>
    </row>
    <row r="407" spans="1:18" ht="15" hidden="1" thickBot="1" x14ac:dyDescent="0.25">
      <c r="A407" s="74"/>
      <c r="B407" s="74"/>
      <c r="C407" s="76"/>
      <c r="D407" s="15"/>
      <c r="E407" s="15"/>
      <c r="F407" s="15"/>
      <c r="G407" s="80"/>
      <c r="H407" s="79"/>
      <c r="I407" s="80"/>
      <c r="J407" s="80"/>
      <c r="K407" s="80"/>
      <c r="L407" s="76"/>
      <c r="M407" s="76"/>
      <c r="N407" s="76"/>
      <c r="O407" s="76"/>
      <c r="P407" s="5"/>
      <c r="Q407" s="6" t="str">
        <f t="shared" si="147"/>
        <v>OKE</v>
      </c>
      <c r="R407" s="6"/>
    </row>
    <row r="408" spans="1:18" ht="15" hidden="1" thickBot="1" x14ac:dyDescent="0.25">
      <c r="A408" s="74">
        <v>8</v>
      </c>
      <c r="B408" s="75" t="s">
        <v>29</v>
      </c>
      <c r="C408" s="76" t="s">
        <v>30</v>
      </c>
      <c r="D408" s="15">
        <v>51600000</v>
      </c>
      <c r="E408" s="15"/>
      <c r="F408" s="15"/>
      <c r="G408" s="80">
        <v>13832900</v>
      </c>
      <c r="H408" s="79">
        <v>1723500</v>
      </c>
      <c r="I408" s="15">
        <f>+G408+H408</f>
        <v>15556400</v>
      </c>
      <c r="J408" s="16">
        <f>+I408/D408</f>
        <v>0.30148062015503874</v>
      </c>
      <c r="K408" s="80">
        <v>12211200</v>
      </c>
      <c r="L408" s="80">
        <v>3345200</v>
      </c>
      <c r="M408" s="80">
        <f>+K408+L408</f>
        <v>15556400</v>
      </c>
      <c r="N408" s="16">
        <f>+M408/D408</f>
        <v>0.30148062015503874</v>
      </c>
      <c r="O408" s="80">
        <f>+D408-I408</f>
        <v>36043600</v>
      </c>
      <c r="P408" s="5"/>
      <c r="Q408" s="6" t="str">
        <f t="shared" si="147"/>
        <v>OKE</v>
      </c>
      <c r="R408" s="6"/>
    </row>
    <row r="409" spans="1:18" ht="15" hidden="1" thickBot="1" x14ac:dyDescent="0.25">
      <c r="A409" s="74"/>
      <c r="B409" s="74"/>
      <c r="C409" s="76"/>
      <c r="D409" s="15"/>
      <c r="E409" s="15"/>
      <c r="F409" s="15"/>
      <c r="G409" s="80"/>
      <c r="H409" s="79"/>
      <c r="I409" s="80"/>
      <c r="J409" s="80"/>
      <c r="K409" s="80"/>
      <c r="L409" s="76"/>
      <c r="M409" s="76"/>
      <c r="N409" s="76"/>
      <c r="O409" s="76"/>
      <c r="P409" s="5"/>
      <c r="Q409" s="6" t="str">
        <f t="shared" si="147"/>
        <v>OKE</v>
      </c>
      <c r="R409" s="6"/>
    </row>
    <row r="410" spans="1:18" ht="15" hidden="1" thickBot="1" x14ac:dyDescent="0.25">
      <c r="A410" s="74">
        <v>9</v>
      </c>
      <c r="B410" s="75" t="s">
        <v>62</v>
      </c>
      <c r="C410" s="76" t="s">
        <v>68</v>
      </c>
      <c r="D410" s="15">
        <v>20000000</v>
      </c>
      <c r="E410" s="15"/>
      <c r="F410" s="15"/>
      <c r="G410" s="80">
        <v>17000000</v>
      </c>
      <c r="H410" s="79">
        <v>3000000</v>
      </c>
      <c r="I410" s="15">
        <f>+G410+H410</f>
        <v>20000000</v>
      </c>
      <c r="J410" s="16">
        <f>+I410/D410</f>
        <v>1</v>
      </c>
      <c r="K410" s="80">
        <v>13780000</v>
      </c>
      <c r="L410" s="80">
        <v>6220000</v>
      </c>
      <c r="M410" s="80">
        <f>+K410+L410</f>
        <v>20000000</v>
      </c>
      <c r="N410" s="16">
        <f>+M410/D410</f>
        <v>1</v>
      </c>
      <c r="O410" s="80">
        <f>+D410-I410</f>
        <v>0</v>
      </c>
      <c r="P410" s="5"/>
      <c r="Q410" s="6" t="str">
        <f t="shared" si="147"/>
        <v>OKE</v>
      </c>
      <c r="R410" s="6"/>
    </row>
    <row r="411" spans="1:18" ht="15" hidden="1" thickBot="1" x14ac:dyDescent="0.25">
      <c r="A411" s="74"/>
      <c r="B411" s="74"/>
      <c r="C411" s="76"/>
      <c r="D411" s="15"/>
      <c r="E411" s="15"/>
      <c r="F411" s="15"/>
      <c r="G411" s="80"/>
      <c r="H411" s="79"/>
      <c r="I411" s="80"/>
      <c r="J411" s="80"/>
      <c r="K411" s="80"/>
      <c r="L411" s="76"/>
      <c r="M411" s="76"/>
      <c r="N411" s="76"/>
      <c r="O411" s="76"/>
      <c r="P411" s="5"/>
      <c r="Q411" s="6" t="str">
        <f t="shared" si="147"/>
        <v>OKE</v>
      </c>
      <c r="R411" s="6"/>
    </row>
    <row r="412" spans="1:18" ht="15" hidden="1" thickBot="1" x14ac:dyDescent="0.25">
      <c r="A412" s="74"/>
      <c r="B412" s="74"/>
      <c r="C412" s="9" t="s">
        <v>48</v>
      </c>
      <c r="D412" s="10">
        <f>+D410+D408+D406+D404+D402+D400+D395+D393</f>
        <v>268080000</v>
      </c>
      <c r="E412" s="10"/>
      <c r="F412" s="10"/>
      <c r="G412" s="10">
        <f>+G410+G408+G406+G404+G402+G400+G395+G393</f>
        <v>133763800</v>
      </c>
      <c r="H412" s="11">
        <f>+H410+H408+H406+H404+H402+H400+H395+H393</f>
        <v>8628300</v>
      </c>
      <c r="I412" s="10">
        <f>+G412+H412</f>
        <v>142392100</v>
      </c>
      <c r="J412" s="12">
        <f>+I412/D412</f>
        <v>0.53115525216353332</v>
      </c>
      <c r="K412" s="10">
        <f>+K410+K408+K406+K404+K402+K400+K395+K393</f>
        <v>114241700</v>
      </c>
      <c r="L412" s="10">
        <f>+L410+L408+L406+L404+L402+L400+L395+L393</f>
        <v>26474800</v>
      </c>
      <c r="M412" s="10">
        <f>+K412+L412</f>
        <v>140716500</v>
      </c>
      <c r="N412" s="12">
        <f>+M412/D412</f>
        <v>0.52490487914055506</v>
      </c>
      <c r="O412" s="10">
        <f>+D412-I412</f>
        <v>125687900</v>
      </c>
      <c r="P412" s="5"/>
      <c r="Q412" s="6" t="str">
        <f t="shared" si="147"/>
        <v>OKE</v>
      </c>
      <c r="R412" s="6"/>
    </row>
    <row r="413" spans="1:18" ht="15" hidden="1" thickBot="1" x14ac:dyDescent="0.25">
      <c r="A413" s="85"/>
      <c r="B413" s="85"/>
      <c r="C413" s="34" t="s">
        <v>31</v>
      </c>
      <c r="D413" s="35"/>
      <c r="E413" s="35"/>
      <c r="F413" s="35"/>
      <c r="G413" s="259"/>
      <c r="H413" s="260"/>
      <c r="I413" s="259"/>
      <c r="J413" s="259"/>
      <c r="K413" s="259"/>
      <c r="L413" s="261"/>
      <c r="M413" s="261"/>
      <c r="N413" s="261"/>
      <c r="O413" s="261"/>
      <c r="P413" s="5"/>
      <c r="Q413" s="6" t="str">
        <f t="shared" si="147"/>
        <v>OKE</v>
      </c>
      <c r="R413" s="6"/>
    </row>
    <row r="414" spans="1:18" ht="15" hidden="1" thickBot="1" x14ac:dyDescent="0.25">
      <c r="A414" s="74"/>
      <c r="B414" s="74"/>
      <c r="C414" s="76"/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ref="Q414:Q463" si="148">IF(M414&lt;=I414,"OKE","Salah")</f>
        <v>OKE</v>
      </c>
      <c r="R414" s="6"/>
    </row>
    <row r="415" spans="1:18" ht="15" hidden="1" thickBot="1" x14ac:dyDescent="0.25">
      <c r="A415" s="7" t="s">
        <v>32</v>
      </c>
      <c r="B415" s="7" t="s">
        <v>33</v>
      </c>
      <c r="C415" s="9" t="s">
        <v>64</v>
      </c>
      <c r="D415" s="10">
        <f>+D418</f>
        <v>10000000</v>
      </c>
      <c r="E415" s="10"/>
      <c r="F415" s="10"/>
      <c r="G415" s="10">
        <f>+G418</f>
        <v>8500000</v>
      </c>
      <c r="H415" s="11">
        <f>+H418</f>
        <v>0</v>
      </c>
      <c r="I415" s="10">
        <f>+G415+H415</f>
        <v>8500000</v>
      </c>
      <c r="J415" s="12">
        <f>+I415/D415</f>
        <v>0.85</v>
      </c>
      <c r="K415" s="10">
        <f>+K418</f>
        <v>6435000</v>
      </c>
      <c r="L415" s="10">
        <f>+L418</f>
        <v>2420000</v>
      </c>
      <c r="M415" s="10">
        <f>+K415+L415</f>
        <v>8855000</v>
      </c>
      <c r="N415" s="12">
        <f>+M415/D415</f>
        <v>0.88549999999999995</v>
      </c>
      <c r="O415" s="10">
        <f>+D415-I415</f>
        <v>1500000</v>
      </c>
      <c r="P415" s="5"/>
      <c r="Q415" s="6" t="str">
        <f t="shared" si="148"/>
        <v>Salah</v>
      </c>
      <c r="R415" s="6"/>
    </row>
    <row r="416" spans="1:18" ht="15" hidden="1" thickBot="1" x14ac:dyDescent="0.25">
      <c r="A416" s="74"/>
      <c r="B416" s="74"/>
      <c r="C416" s="9" t="s">
        <v>49</v>
      </c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48"/>
        <v>OKE</v>
      </c>
      <c r="R416" s="6"/>
    </row>
    <row r="417" spans="1:18" ht="15" hidden="1" thickBot="1" x14ac:dyDescent="0.25">
      <c r="A417" s="74"/>
      <c r="B417" s="74"/>
      <c r="C417" s="76"/>
      <c r="D417" s="15"/>
      <c r="E417" s="15"/>
      <c r="F417" s="15"/>
      <c r="G417" s="80"/>
      <c r="H417" s="79"/>
      <c r="I417" s="80"/>
      <c r="J417" s="80"/>
      <c r="K417" s="80"/>
      <c r="L417" s="76"/>
      <c r="M417" s="76"/>
      <c r="N417" s="76"/>
      <c r="O417" s="76"/>
      <c r="P417" s="5"/>
      <c r="Q417" s="6" t="str">
        <f t="shared" si="148"/>
        <v>OKE</v>
      </c>
      <c r="R417" s="6"/>
    </row>
    <row r="418" spans="1:18" ht="15" hidden="1" thickBot="1" x14ac:dyDescent="0.25">
      <c r="A418" s="74">
        <v>10</v>
      </c>
      <c r="B418" s="75" t="s">
        <v>61</v>
      </c>
      <c r="C418" s="8" t="s">
        <v>99</v>
      </c>
      <c r="D418" s="15">
        <v>10000000</v>
      </c>
      <c r="E418" s="15"/>
      <c r="F418" s="15"/>
      <c r="G418" s="80">
        <v>8500000</v>
      </c>
      <c r="H418" s="79">
        <v>0</v>
      </c>
      <c r="I418" s="15">
        <f>+G418+H418</f>
        <v>8500000</v>
      </c>
      <c r="J418" s="16">
        <f>+I418/D418</f>
        <v>0.85</v>
      </c>
      <c r="K418" s="80">
        <v>6435000</v>
      </c>
      <c r="L418" s="80">
        <v>2420000</v>
      </c>
      <c r="M418" s="80">
        <f>+K418+L418</f>
        <v>8855000</v>
      </c>
      <c r="N418" s="16">
        <f>+M418/D418</f>
        <v>0.88549999999999995</v>
      </c>
      <c r="O418" s="80">
        <f>+D418-I418</f>
        <v>1500000</v>
      </c>
      <c r="P418" s="5"/>
      <c r="Q418" s="6" t="str">
        <f t="shared" si="148"/>
        <v>Salah</v>
      </c>
      <c r="R418" s="6"/>
    </row>
    <row r="419" spans="1:18" ht="15" hidden="1" thickBot="1" x14ac:dyDescent="0.25">
      <c r="A419" s="74"/>
      <c r="B419" s="74"/>
      <c r="C419" s="76"/>
      <c r="D419" s="15"/>
      <c r="E419" s="15"/>
      <c r="F419" s="15"/>
      <c r="G419" s="80"/>
      <c r="H419" s="79"/>
      <c r="I419" s="80"/>
      <c r="J419" s="80"/>
      <c r="K419" s="80"/>
      <c r="L419" s="76"/>
      <c r="M419" s="76"/>
      <c r="N419" s="76"/>
      <c r="O419" s="76"/>
      <c r="P419" s="5"/>
      <c r="Q419" s="6" t="str">
        <f t="shared" si="148"/>
        <v>OKE</v>
      </c>
      <c r="R419" s="6"/>
    </row>
    <row r="420" spans="1:18" ht="15" hidden="1" thickBot="1" x14ac:dyDescent="0.25">
      <c r="A420" s="74"/>
      <c r="B420" s="74"/>
      <c r="C420" s="9" t="s">
        <v>65</v>
      </c>
      <c r="D420" s="10">
        <f>+D418</f>
        <v>10000000</v>
      </c>
      <c r="E420" s="10"/>
      <c r="F420" s="10"/>
      <c r="G420" s="10">
        <f>+G418</f>
        <v>8500000</v>
      </c>
      <c r="H420" s="11">
        <f>+H418</f>
        <v>0</v>
      </c>
      <c r="I420" s="10">
        <f>+G420+H420</f>
        <v>8500000</v>
      </c>
      <c r="J420" s="12">
        <f>+I420/D420</f>
        <v>0.85</v>
      </c>
      <c r="K420" s="10">
        <f>+K418</f>
        <v>6435000</v>
      </c>
      <c r="L420" s="10">
        <f>+L418</f>
        <v>2420000</v>
      </c>
      <c r="M420" s="10">
        <f>+K420+L420</f>
        <v>8855000</v>
      </c>
      <c r="N420" s="12">
        <f>+M420/D420</f>
        <v>0.88549999999999995</v>
      </c>
      <c r="O420" s="10">
        <f>+D420-I420</f>
        <v>1500000</v>
      </c>
      <c r="P420" s="5"/>
      <c r="Q420" s="6" t="str">
        <f t="shared" si="148"/>
        <v>Salah</v>
      </c>
      <c r="R420" s="6"/>
    </row>
    <row r="421" spans="1:18" ht="15" hidden="1" thickBot="1" x14ac:dyDescent="0.25">
      <c r="A421" s="81"/>
      <c r="B421" s="81"/>
      <c r="C421" s="23" t="s">
        <v>66</v>
      </c>
      <c r="D421" s="32"/>
      <c r="E421" s="32"/>
      <c r="F421" s="32"/>
      <c r="G421" s="252"/>
      <c r="H421" s="253"/>
      <c r="I421" s="252"/>
      <c r="J421" s="252"/>
      <c r="K421" s="252"/>
      <c r="L421" s="251"/>
      <c r="M421" s="251"/>
      <c r="N421" s="251"/>
      <c r="O421" s="251"/>
      <c r="P421" s="5"/>
      <c r="Q421" s="6" t="str">
        <f t="shared" si="148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8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8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8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8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8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8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8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8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8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8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8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8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8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8"/>
        <v>OKE</v>
      </c>
      <c r="R435" s="6"/>
    </row>
    <row r="436" spans="1:18" ht="15" hidden="1" thickBot="1" x14ac:dyDescent="0.25">
      <c r="B436" s="88"/>
      <c r="C436" s="26"/>
      <c r="D436" s="31"/>
      <c r="E436" s="31"/>
      <c r="F436" s="31"/>
      <c r="G436" s="179"/>
      <c r="H436" s="258"/>
      <c r="I436" s="179"/>
      <c r="J436" s="179"/>
      <c r="K436" s="179"/>
      <c r="L436" s="77"/>
      <c r="M436" s="77"/>
      <c r="N436" s="77"/>
      <c r="O436" s="77"/>
      <c r="P436" s="5"/>
      <c r="Q436" s="6" t="str">
        <f t="shared" si="148"/>
        <v>OKE</v>
      </c>
      <c r="R436" s="6"/>
    </row>
    <row r="437" spans="1:18" ht="15" hidden="1" thickBot="1" x14ac:dyDescent="0.25">
      <c r="B437" s="88"/>
      <c r="C437" s="26"/>
      <c r="D437" s="31"/>
      <c r="E437" s="31"/>
      <c r="F437" s="31"/>
      <c r="G437" s="179"/>
      <c r="H437" s="258"/>
      <c r="I437" s="179"/>
      <c r="J437" s="179"/>
      <c r="K437" s="179"/>
      <c r="L437" s="77"/>
      <c r="M437" s="77"/>
      <c r="N437" s="77"/>
      <c r="O437" s="77"/>
      <c r="P437" s="5"/>
      <c r="Q437" s="6" t="str">
        <f t="shared" si="148"/>
        <v>OKE</v>
      </c>
      <c r="R437" s="6"/>
    </row>
    <row r="438" spans="1:18" ht="14.1" hidden="1" customHeight="1" x14ac:dyDescent="0.2">
      <c r="A438" s="361" t="s">
        <v>2</v>
      </c>
      <c r="B438" s="361" t="s">
        <v>3</v>
      </c>
      <c r="C438" s="361" t="s">
        <v>4</v>
      </c>
      <c r="D438" s="361" t="s">
        <v>5</v>
      </c>
      <c r="E438" s="197"/>
      <c r="F438" s="197"/>
      <c r="G438" s="358" t="s">
        <v>11</v>
      </c>
      <c r="H438" s="359"/>
      <c r="I438" s="359"/>
      <c r="J438" s="360"/>
      <c r="K438" s="358" t="s">
        <v>9</v>
      </c>
      <c r="L438" s="359"/>
      <c r="M438" s="359"/>
      <c r="N438" s="360"/>
      <c r="O438" s="361" t="s">
        <v>10</v>
      </c>
      <c r="P438" s="5"/>
      <c r="Q438" s="6" t="str">
        <f t="shared" si="148"/>
        <v>OKE</v>
      </c>
      <c r="R438" s="6"/>
    </row>
    <row r="439" spans="1:18" ht="14.1" hidden="1" customHeight="1" x14ac:dyDescent="0.2">
      <c r="A439" s="362"/>
      <c r="B439" s="362"/>
      <c r="C439" s="362"/>
      <c r="D439" s="362"/>
      <c r="E439" s="44"/>
      <c r="F439" s="44"/>
      <c r="G439" s="358" t="s">
        <v>74</v>
      </c>
      <c r="H439" s="359"/>
      <c r="I439" s="359"/>
      <c r="J439" s="360"/>
      <c r="K439" s="358" t="s">
        <v>12</v>
      </c>
      <c r="L439" s="359"/>
      <c r="M439" s="359"/>
      <c r="N439" s="360"/>
      <c r="O439" s="362"/>
      <c r="P439" s="5"/>
      <c r="Q439" s="6" t="str">
        <f t="shared" si="148"/>
        <v>OKE</v>
      </c>
      <c r="R439" s="6"/>
    </row>
    <row r="440" spans="1:18" ht="14.1" hidden="1" customHeight="1" x14ac:dyDescent="0.2">
      <c r="A440" s="378"/>
      <c r="B440" s="378"/>
      <c r="C440" s="378"/>
      <c r="D440" s="378"/>
      <c r="E440" s="196"/>
      <c r="F440" s="196"/>
      <c r="G440" s="144" t="s">
        <v>13</v>
      </c>
      <c r="H440" s="145" t="s">
        <v>14</v>
      </c>
      <c r="I440" s="144" t="s">
        <v>15</v>
      </c>
      <c r="J440" s="144" t="s">
        <v>16</v>
      </c>
      <c r="K440" s="144" t="s">
        <v>13</v>
      </c>
      <c r="L440" s="144" t="s">
        <v>14</v>
      </c>
      <c r="M440" s="144" t="s">
        <v>15</v>
      </c>
      <c r="N440" s="144" t="s">
        <v>16</v>
      </c>
      <c r="O440" s="378"/>
      <c r="P440" s="5"/>
      <c r="Q440" s="6" t="str">
        <f t="shared" si="148"/>
        <v>OKE</v>
      </c>
      <c r="R440" s="6"/>
    </row>
    <row r="441" spans="1:18" ht="15" hidden="1" thickBot="1" x14ac:dyDescent="0.25">
      <c r="A441" s="2">
        <v>1</v>
      </c>
      <c r="B441" s="2">
        <v>2</v>
      </c>
      <c r="C441" s="2">
        <v>3</v>
      </c>
      <c r="D441" s="2">
        <v>4</v>
      </c>
      <c r="E441" s="2"/>
      <c r="F441" s="2"/>
      <c r="G441" s="2">
        <v>5</v>
      </c>
      <c r="H441" s="145">
        <v>6</v>
      </c>
      <c r="I441" s="45" t="s">
        <v>77</v>
      </c>
      <c r="J441" s="45" t="s">
        <v>78</v>
      </c>
      <c r="K441" s="45">
        <v>9</v>
      </c>
      <c r="L441" s="45">
        <v>10</v>
      </c>
      <c r="M441" s="45" t="s">
        <v>79</v>
      </c>
      <c r="N441" s="45" t="s">
        <v>80</v>
      </c>
      <c r="O441" s="45" t="s">
        <v>81</v>
      </c>
      <c r="P441" s="5"/>
      <c r="Q441" s="6" t="str">
        <f t="shared" si="148"/>
        <v>OKE</v>
      </c>
      <c r="R441" s="6"/>
    </row>
    <row r="442" spans="1:18" ht="15" hidden="1" thickBot="1" x14ac:dyDescent="0.25">
      <c r="A442" s="74"/>
      <c r="B442" s="76"/>
      <c r="C442" s="76"/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241"/>
      <c r="O442" s="241"/>
      <c r="P442" s="5"/>
      <c r="Q442" s="6" t="str">
        <f t="shared" si="148"/>
        <v>OKE</v>
      </c>
      <c r="R442" s="6"/>
    </row>
    <row r="443" spans="1:18" ht="15" hidden="1" thickBot="1" x14ac:dyDescent="0.25">
      <c r="A443" s="74"/>
      <c r="B443" s="76"/>
      <c r="C443" s="244" t="s">
        <v>97</v>
      </c>
      <c r="D443" s="8"/>
      <c r="E443" s="8"/>
      <c r="F443" s="8"/>
      <c r="G443" s="76"/>
      <c r="H443" s="82"/>
      <c r="I443" s="76"/>
      <c r="J443" s="76"/>
      <c r="K443" s="76"/>
      <c r="L443" s="76"/>
      <c r="M443" s="76"/>
      <c r="N443" s="76"/>
      <c r="O443" s="76"/>
      <c r="P443" s="5"/>
      <c r="Q443" s="6" t="str">
        <f t="shared" si="148"/>
        <v>OKE</v>
      </c>
      <c r="R443" s="6"/>
    </row>
    <row r="444" spans="1:18" ht="15" hidden="1" thickBot="1" x14ac:dyDescent="0.25">
      <c r="A444" s="74"/>
      <c r="B444" s="76"/>
      <c r="C444" s="76"/>
      <c r="D444" s="8"/>
      <c r="E444" s="8"/>
      <c r="F444" s="8"/>
      <c r="G444" s="76"/>
      <c r="H444" s="82"/>
      <c r="I444" s="76"/>
      <c r="J444" s="76"/>
      <c r="K444" s="76"/>
      <c r="L444" s="76"/>
      <c r="M444" s="76"/>
      <c r="N444" s="76"/>
      <c r="O444" s="76"/>
      <c r="P444" s="5"/>
      <c r="Q444" s="6" t="str">
        <f t="shared" si="148"/>
        <v>OKE</v>
      </c>
      <c r="R444" s="6"/>
    </row>
    <row r="445" spans="1:18" ht="15" hidden="1" thickBot="1" x14ac:dyDescent="0.25">
      <c r="A445" s="7" t="s">
        <v>36</v>
      </c>
      <c r="B445" s="7" t="s">
        <v>51</v>
      </c>
      <c r="C445" s="9" t="s">
        <v>100</v>
      </c>
      <c r="D445" s="10">
        <f>+D447+D449</f>
        <v>65000000</v>
      </c>
      <c r="E445" s="10"/>
      <c r="F445" s="10"/>
      <c r="G445" s="10">
        <f>+G447+G449</f>
        <v>63849900</v>
      </c>
      <c r="H445" s="11">
        <f>+H447+H449</f>
        <v>0</v>
      </c>
      <c r="I445" s="10">
        <f>+G445+H445</f>
        <v>63849900</v>
      </c>
      <c r="J445" s="12">
        <f>+I445/D445</f>
        <v>0.98230615384615383</v>
      </c>
      <c r="K445" s="10">
        <f>+K447+K449</f>
        <v>60979900</v>
      </c>
      <c r="L445" s="10">
        <f>+L447+L449</f>
        <v>2675000</v>
      </c>
      <c r="M445" s="10">
        <f>+K445+L445</f>
        <v>63654900</v>
      </c>
      <c r="N445" s="12">
        <f>+M445/D445</f>
        <v>0.97930615384615383</v>
      </c>
      <c r="O445" s="10">
        <f>+D445-I445</f>
        <v>1150100</v>
      </c>
      <c r="P445" s="5"/>
      <c r="Q445" s="6" t="str">
        <f t="shared" si="148"/>
        <v>OKE</v>
      </c>
      <c r="R445" s="6"/>
    </row>
    <row r="446" spans="1:18" ht="15" hidden="1" thickBot="1" x14ac:dyDescent="0.25">
      <c r="A446" s="7"/>
      <c r="B446" s="7"/>
      <c r="C446" s="9"/>
      <c r="D446" s="15"/>
      <c r="E446" s="15"/>
      <c r="F446" s="15"/>
      <c r="G446" s="80"/>
      <c r="H446" s="79"/>
      <c r="I446" s="80"/>
      <c r="J446" s="80"/>
      <c r="K446" s="80"/>
      <c r="L446" s="93"/>
      <c r="M446" s="76"/>
      <c r="N446" s="76"/>
      <c r="O446" s="76"/>
      <c r="P446" s="5"/>
      <c r="Q446" s="6" t="str">
        <f t="shared" si="148"/>
        <v>OKE</v>
      </c>
      <c r="R446" s="6"/>
    </row>
    <row r="447" spans="1:18" ht="15" hidden="1" thickBot="1" x14ac:dyDescent="0.25">
      <c r="A447" s="7"/>
      <c r="B447" s="75" t="s">
        <v>37</v>
      </c>
      <c r="C447" s="8" t="s">
        <v>101</v>
      </c>
      <c r="D447" s="15">
        <v>5000000</v>
      </c>
      <c r="E447" s="15"/>
      <c r="F447" s="15"/>
      <c r="G447" s="80">
        <v>5000000</v>
      </c>
      <c r="H447" s="79">
        <v>0</v>
      </c>
      <c r="I447" s="15">
        <f>+G447+H447</f>
        <v>5000000</v>
      </c>
      <c r="J447" s="16">
        <f>+I447/D447</f>
        <v>1</v>
      </c>
      <c r="K447" s="80">
        <v>2250000</v>
      </c>
      <c r="L447" s="80">
        <v>2675000</v>
      </c>
      <c r="M447" s="80">
        <f>+K447+L447</f>
        <v>4925000</v>
      </c>
      <c r="N447" s="16">
        <f>+M447/D447</f>
        <v>0.98499999999999999</v>
      </c>
      <c r="O447" s="80">
        <f>+D447-I447</f>
        <v>0</v>
      </c>
      <c r="P447" s="5"/>
      <c r="Q447" s="6" t="str">
        <f t="shared" si="148"/>
        <v>OKE</v>
      </c>
      <c r="R447" s="6"/>
    </row>
    <row r="448" spans="1:18" ht="15" hidden="1" thickBot="1" x14ac:dyDescent="0.25">
      <c r="A448" s="7"/>
      <c r="B448" s="7"/>
      <c r="C448" s="9"/>
      <c r="D448" s="15"/>
      <c r="E448" s="15"/>
      <c r="F448" s="15"/>
      <c r="G448" s="80"/>
      <c r="H448" s="79"/>
      <c r="I448" s="80"/>
      <c r="J448" s="80"/>
      <c r="K448" s="80"/>
      <c r="L448" s="93"/>
      <c r="M448" s="76"/>
      <c r="N448" s="76"/>
      <c r="O448" s="76"/>
      <c r="P448" s="5"/>
      <c r="Q448" s="6" t="str">
        <f t="shared" si="148"/>
        <v>OKE</v>
      </c>
      <c r="R448" s="6"/>
    </row>
    <row r="449" spans="1:40" ht="15" hidden="1" thickBot="1" x14ac:dyDescent="0.25">
      <c r="A449" s="74">
        <v>11</v>
      </c>
      <c r="B449" s="75" t="s">
        <v>42</v>
      </c>
      <c r="C449" s="76" t="s">
        <v>102</v>
      </c>
      <c r="D449" s="15">
        <v>60000000</v>
      </c>
      <c r="E449" s="15"/>
      <c r="F449" s="15"/>
      <c r="G449" s="80">
        <v>58849900</v>
      </c>
      <c r="H449" s="79">
        <v>0</v>
      </c>
      <c r="I449" s="15">
        <f>+G449+H449</f>
        <v>58849900</v>
      </c>
      <c r="J449" s="16">
        <f>+I449/D449</f>
        <v>0.98083166666666666</v>
      </c>
      <c r="K449" s="80">
        <v>58729900</v>
      </c>
      <c r="L449" s="80">
        <v>0</v>
      </c>
      <c r="M449" s="80">
        <f>+K449+L449</f>
        <v>58729900</v>
      </c>
      <c r="N449" s="16">
        <f>+M449/D449</f>
        <v>0.97883166666666666</v>
      </c>
      <c r="O449" s="80">
        <f>+D449-I449</f>
        <v>1150100</v>
      </c>
      <c r="P449" s="5"/>
      <c r="Q449" s="6" t="str">
        <f t="shared" si="148"/>
        <v>OKE</v>
      </c>
      <c r="R449" s="6"/>
    </row>
    <row r="450" spans="1:40" ht="15" hidden="1" thickBot="1" x14ac:dyDescent="0.25">
      <c r="A450" s="74"/>
      <c r="B450" s="74"/>
      <c r="C450" s="76"/>
      <c r="D450" s="15"/>
      <c r="E450" s="15"/>
      <c r="F450" s="15"/>
      <c r="G450" s="80"/>
      <c r="H450" s="79"/>
      <c r="I450" s="80"/>
      <c r="J450" s="80"/>
      <c r="K450" s="80"/>
      <c r="L450" s="76"/>
      <c r="M450" s="76"/>
      <c r="N450" s="76"/>
      <c r="O450" s="76"/>
      <c r="P450" s="5"/>
      <c r="Q450" s="6" t="str">
        <f t="shared" si="148"/>
        <v>OKE</v>
      </c>
      <c r="R450" s="6"/>
    </row>
    <row r="451" spans="1:40" ht="15" hidden="1" thickBot="1" x14ac:dyDescent="0.25">
      <c r="A451" s="85"/>
      <c r="B451" s="85"/>
      <c r="C451" s="34" t="s">
        <v>103</v>
      </c>
      <c r="D451" s="41">
        <f>+D449+D447</f>
        <v>65000000</v>
      </c>
      <c r="E451" s="41"/>
      <c r="F451" s="41"/>
      <c r="G451" s="41">
        <f>+G449+G447</f>
        <v>63849900</v>
      </c>
      <c r="H451" s="42">
        <f>+H449+H447</f>
        <v>0</v>
      </c>
      <c r="I451" s="41">
        <f>+G451+H451</f>
        <v>63849900</v>
      </c>
      <c r="J451" s="43">
        <f>+I451/D451</f>
        <v>0.98230615384615383</v>
      </c>
      <c r="K451" s="41">
        <f>+K449+K447</f>
        <v>60979900</v>
      </c>
      <c r="L451" s="41">
        <f>+L449+L447</f>
        <v>2675000</v>
      </c>
      <c r="M451" s="259">
        <f>+K451+L451</f>
        <v>63654900</v>
      </c>
      <c r="N451" s="43">
        <f>+M451/D451</f>
        <v>0.97930615384615383</v>
      </c>
      <c r="O451" s="41">
        <f>+D451-I451</f>
        <v>1150100</v>
      </c>
      <c r="P451" s="5"/>
      <c r="Q451" s="6" t="str">
        <f t="shared" si="148"/>
        <v>OKE</v>
      </c>
      <c r="R451" s="6"/>
    </row>
    <row r="452" spans="1:40" ht="15" hidden="1" thickBot="1" x14ac:dyDescent="0.25">
      <c r="A452" s="74"/>
      <c r="B452" s="74"/>
      <c r="C452" s="76"/>
      <c r="D452" s="15"/>
      <c r="E452" s="15"/>
      <c r="F452" s="15"/>
      <c r="G452" s="80"/>
      <c r="H452" s="79"/>
      <c r="I452" s="80"/>
      <c r="J452" s="80"/>
      <c r="K452" s="80"/>
      <c r="L452" s="76"/>
      <c r="M452" s="76"/>
      <c r="N452" s="76"/>
      <c r="O452" s="76"/>
      <c r="P452" s="5"/>
      <c r="Q452" s="6" t="str">
        <f t="shared" si="148"/>
        <v>OKE</v>
      </c>
      <c r="R452" s="6"/>
    </row>
    <row r="453" spans="1:40" ht="15" hidden="1" thickBot="1" x14ac:dyDescent="0.25">
      <c r="A453" s="7" t="s">
        <v>38</v>
      </c>
      <c r="B453" s="7" t="s">
        <v>104</v>
      </c>
      <c r="C453" s="9" t="s">
        <v>105</v>
      </c>
      <c r="D453" s="10">
        <f>+D455+D457</f>
        <v>65000000</v>
      </c>
      <c r="E453" s="10"/>
      <c r="F453" s="10"/>
      <c r="G453" s="10">
        <f>+G455+G457</f>
        <v>63625000</v>
      </c>
      <c r="H453" s="11">
        <f>+H455+H457</f>
        <v>0</v>
      </c>
      <c r="I453" s="10">
        <f>+G453+H453</f>
        <v>63625000</v>
      </c>
      <c r="J453" s="12">
        <f>+I453/D453</f>
        <v>0.97884615384615381</v>
      </c>
      <c r="K453" s="10">
        <f>+K455+K457</f>
        <v>58383200</v>
      </c>
      <c r="L453" s="10">
        <f>+L455+L457</f>
        <v>5241800</v>
      </c>
      <c r="M453" s="10">
        <f>+K453+L453</f>
        <v>63625000</v>
      </c>
      <c r="N453" s="12">
        <f>+M453/D453</f>
        <v>0.97884615384615381</v>
      </c>
      <c r="O453" s="10">
        <f>+D453-I453</f>
        <v>1375000</v>
      </c>
      <c r="P453" s="5"/>
      <c r="Q453" s="6" t="str">
        <f t="shared" si="148"/>
        <v>OKE</v>
      </c>
      <c r="R453" s="6"/>
    </row>
    <row r="454" spans="1:40" ht="15" hidden="1" thickBot="1" x14ac:dyDescent="0.25">
      <c r="A454" s="7"/>
      <c r="B454" s="7"/>
      <c r="C454" s="9"/>
      <c r="D454" s="15"/>
      <c r="E454" s="15"/>
      <c r="F454" s="15"/>
      <c r="G454" s="80"/>
      <c r="H454" s="79"/>
      <c r="I454" s="80"/>
      <c r="J454" s="80"/>
      <c r="K454" s="80"/>
      <c r="L454" s="93"/>
      <c r="M454" s="76"/>
      <c r="N454" s="76"/>
      <c r="O454" s="76"/>
      <c r="P454" s="5"/>
      <c r="Q454" s="6" t="str">
        <f t="shared" si="148"/>
        <v>OKE</v>
      </c>
      <c r="R454" s="6"/>
    </row>
    <row r="455" spans="1:40" ht="15" hidden="1" thickBot="1" x14ac:dyDescent="0.25">
      <c r="A455" s="74">
        <v>12</v>
      </c>
      <c r="B455" s="75" t="s">
        <v>71</v>
      </c>
      <c r="C455" s="76" t="s">
        <v>106</v>
      </c>
      <c r="D455" s="15">
        <v>32000000</v>
      </c>
      <c r="E455" s="15"/>
      <c r="F455" s="15"/>
      <c r="G455" s="80">
        <v>32000000</v>
      </c>
      <c r="H455" s="79">
        <v>0</v>
      </c>
      <c r="I455" s="15">
        <f>+G455+H455</f>
        <v>32000000</v>
      </c>
      <c r="J455" s="16">
        <f>+I455/D455</f>
        <v>1</v>
      </c>
      <c r="K455" s="80">
        <v>26758200</v>
      </c>
      <c r="L455" s="80">
        <v>5241800</v>
      </c>
      <c r="M455" s="80">
        <f>+K455+L455</f>
        <v>32000000</v>
      </c>
      <c r="N455" s="16">
        <f>+M455/D455</f>
        <v>1</v>
      </c>
      <c r="O455" s="80">
        <f>+D455-I455</f>
        <v>0</v>
      </c>
      <c r="P455" s="5"/>
      <c r="Q455" s="6" t="str">
        <f t="shared" si="148"/>
        <v>OKE</v>
      </c>
      <c r="R455" s="6"/>
    </row>
    <row r="456" spans="1:40" ht="15" hidden="1" thickBot="1" x14ac:dyDescent="0.25">
      <c r="A456" s="74"/>
      <c r="B456" s="74"/>
      <c r="C456" s="76"/>
      <c r="D456" s="15"/>
      <c r="E456" s="15"/>
      <c r="F456" s="15"/>
      <c r="G456" s="80"/>
      <c r="H456" s="79"/>
      <c r="I456" s="80"/>
      <c r="J456" s="80"/>
      <c r="K456" s="270"/>
      <c r="L456" s="93"/>
      <c r="M456" s="76"/>
      <c r="N456" s="76"/>
      <c r="O456" s="76"/>
      <c r="P456" s="5"/>
      <c r="Q456" s="6" t="str">
        <f t="shared" si="148"/>
        <v>OKE</v>
      </c>
      <c r="R456" s="6"/>
    </row>
    <row r="457" spans="1:40" ht="15" hidden="1" thickBot="1" x14ac:dyDescent="0.25">
      <c r="A457" s="74">
        <v>13</v>
      </c>
      <c r="B457" s="75" t="s">
        <v>107</v>
      </c>
      <c r="C457" s="76" t="s">
        <v>108</v>
      </c>
      <c r="D457" s="15">
        <v>33000000</v>
      </c>
      <c r="E457" s="15"/>
      <c r="F457" s="15"/>
      <c r="G457" s="80">
        <v>31625000</v>
      </c>
      <c r="H457" s="79">
        <v>0</v>
      </c>
      <c r="I457" s="15">
        <f>+G457+H457</f>
        <v>31625000</v>
      </c>
      <c r="J457" s="16">
        <f>+I457/D457</f>
        <v>0.95833333333333337</v>
      </c>
      <c r="K457" s="80">
        <v>31625000</v>
      </c>
      <c r="L457" s="80">
        <v>0</v>
      </c>
      <c r="M457" s="80">
        <f>+K457+L457</f>
        <v>31625000</v>
      </c>
      <c r="N457" s="16">
        <f>+M457/D457</f>
        <v>0.95833333333333337</v>
      </c>
      <c r="O457" s="80">
        <f>+D457-I457</f>
        <v>1375000</v>
      </c>
      <c r="P457" s="5"/>
      <c r="Q457" s="6" t="str">
        <f t="shared" si="148"/>
        <v>OKE</v>
      </c>
      <c r="R457" s="6"/>
    </row>
    <row r="458" spans="1:40" ht="15" hidden="1" thickBot="1" x14ac:dyDescent="0.25">
      <c r="A458" s="74"/>
      <c r="B458" s="74"/>
      <c r="C458" s="76"/>
      <c r="D458" s="15"/>
      <c r="E458" s="15"/>
      <c r="F458" s="15"/>
      <c r="G458" s="80"/>
      <c r="H458" s="79"/>
      <c r="I458" s="80"/>
      <c r="J458" s="80"/>
      <c r="K458" s="80"/>
      <c r="L458" s="76"/>
      <c r="M458" s="76"/>
      <c r="N458" s="76"/>
      <c r="O458" s="76"/>
      <c r="P458" s="5"/>
      <c r="Q458" s="6" t="str">
        <f t="shared" si="148"/>
        <v>OKE</v>
      </c>
      <c r="R458" s="6"/>
    </row>
    <row r="459" spans="1:40" ht="15" hidden="1" thickBot="1" x14ac:dyDescent="0.25">
      <c r="A459" s="85"/>
      <c r="B459" s="85"/>
      <c r="C459" s="34" t="s">
        <v>109</v>
      </c>
      <c r="D459" s="41">
        <f>+D457+D455</f>
        <v>65000000</v>
      </c>
      <c r="E459" s="41"/>
      <c r="F459" s="41"/>
      <c r="G459" s="41">
        <f>+G457+G455</f>
        <v>63625000</v>
      </c>
      <c r="H459" s="42">
        <f>+H457+H455</f>
        <v>0</v>
      </c>
      <c r="I459" s="41">
        <f>+G459+H459</f>
        <v>63625000</v>
      </c>
      <c r="J459" s="43">
        <f>+I459/D459</f>
        <v>0.97884615384615381</v>
      </c>
      <c r="K459" s="41">
        <f>+K457+K455</f>
        <v>58383200</v>
      </c>
      <c r="L459" s="41">
        <f>+L457+L455</f>
        <v>5241800</v>
      </c>
      <c r="M459" s="41">
        <f>+K459+L459</f>
        <v>63625000</v>
      </c>
      <c r="N459" s="43">
        <f>+M459/D459</f>
        <v>0.97884615384615381</v>
      </c>
      <c r="O459" s="41">
        <f>+D459-I459</f>
        <v>1375000</v>
      </c>
      <c r="P459" s="5"/>
      <c r="Q459" s="6" t="str">
        <f t="shared" si="148"/>
        <v>OKE</v>
      </c>
      <c r="R459" s="6"/>
    </row>
    <row r="460" spans="1:40" ht="15" hidden="1" thickBot="1" x14ac:dyDescent="0.25">
      <c r="A460" s="74"/>
      <c r="B460" s="74"/>
      <c r="C460" s="76"/>
      <c r="D460" s="15"/>
      <c r="E460" s="15"/>
      <c r="F460" s="15"/>
      <c r="G460" s="80"/>
      <c r="H460" s="79"/>
      <c r="I460" s="80"/>
      <c r="J460" s="80"/>
      <c r="K460" s="80"/>
      <c r="L460" s="93"/>
      <c r="M460" s="76"/>
      <c r="N460" s="76"/>
      <c r="O460" s="76"/>
      <c r="P460" s="5"/>
      <c r="Q460" s="6" t="str">
        <f t="shared" si="148"/>
        <v>OKE</v>
      </c>
      <c r="R460" s="6"/>
    </row>
    <row r="461" spans="1:40" ht="15" hidden="1" thickBot="1" x14ac:dyDescent="0.25">
      <c r="A461" s="92"/>
      <c r="B461" s="92"/>
      <c r="C461" s="54"/>
      <c r="D461" s="55"/>
      <c r="E461" s="55"/>
      <c r="F461" s="55"/>
      <c r="G461" s="55"/>
      <c r="H461" s="56"/>
      <c r="I461" s="55"/>
      <c r="J461" s="57"/>
      <c r="K461" s="55"/>
      <c r="L461" s="55"/>
      <c r="M461" s="58"/>
      <c r="N461" s="59"/>
      <c r="O461" s="58"/>
      <c r="P461" s="5"/>
      <c r="Q461" s="6" t="str">
        <f t="shared" si="148"/>
        <v>OKE</v>
      </c>
      <c r="R461" s="6"/>
    </row>
    <row r="462" spans="1:40" s="72" customFormat="1" ht="10.5" customHeight="1" x14ac:dyDescent="0.2">
      <c r="A462" s="435"/>
      <c r="B462" s="436"/>
      <c r="C462" s="439" t="s">
        <v>110</v>
      </c>
      <c r="D462" s="429">
        <f t="shared" ref="D462:I462" si="149">+D30+D47+D62+D77+D98+D113+D126+D176+D193+D256</f>
        <v>70935668093</v>
      </c>
      <c r="E462" s="302">
        <f t="shared" si="149"/>
        <v>0</v>
      </c>
      <c r="F462" s="441">
        <f t="shared" si="149"/>
        <v>70935668093</v>
      </c>
      <c r="G462" s="429">
        <f t="shared" si="149"/>
        <v>0</v>
      </c>
      <c r="H462" s="429">
        <f t="shared" si="149"/>
        <v>831035153</v>
      </c>
      <c r="I462" s="429">
        <f t="shared" si="149"/>
        <v>831035153</v>
      </c>
      <c r="J462" s="431">
        <f>+I462/F462</f>
        <v>1.1715335533464967E-2</v>
      </c>
      <c r="K462" s="302">
        <f>+K30+K47+K62+K77+K98+K113+K126+K176+K193+K256</f>
        <v>0</v>
      </c>
      <c r="L462" s="429">
        <f>+L30+L47+L62+L77+L98+L113+L126+L176+L193+L256</f>
        <v>831035153</v>
      </c>
      <c r="M462" s="429">
        <f>+K462+L462</f>
        <v>831035153</v>
      </c>
      <c r="N462" s="433">
        <f>+M462/F462</f>
        <v>1.1715335533464967E-2</v>
      </c>
      <c r="O462" s="429">
        <f>+F462-M462</f>
        <v>70104632940</v>
      </c>
      <c r="P462" s="5"/>
      <c r="Q462" s="6" t="str">
        <f t="shared" si="148"/>
        <v>OKE</v>
      </c>
      <c r="R462" s="6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</row>
    <row r="463" spans="1:40" s="73" customFormat="1" ht="18" customHeight="1" thickBot="1" x14ac:dyDescent="0.25">
      <c r="A463" s="437"/>
      <c r="B463" s="438"/>
      <c r="C463" s="430"/>
      <c r="D463" s="440"/>
      <c r="E463" s="303"/>
      <c r="F463" s="442"/>
      <c r="G463" s="440"/>
      <c r="H463" s="440"/>
      <c r="I463" s="430"/>
      <c r="J463" s="432"/>
      <c r="K463" s="303"/>
      <c r="L463" s="440"/>
      <c r="M463" s="430"/>
      <c r="N463" s="434"/>
      <c r="O463" s="430"/>
      <c r="P463" s="77"/>
      <c r="Q463" s="6" t="str">
        <f t="shared" si="148"/>
        <v>OKE</v>
      </c>
      <c r="R463" s="6"/>
      <c r="S463" s="306">
        <f>+S476+1343435000</f>
        <v>2174470153</v>
      </c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</row>
    <row r="464" spans="1:40" ht="5.25" customHeight="1" x14ac:dyDescent="0.2">
      <c r="A464" s="90"/>
      <c r="B464" s="90"/>
      <c r="C464" s="37"/>
      <c r="D464" s="37"/>
      <c r="E464" s="37"/>
      <c r="F464" s="37"/>
      <c r="G464" s="37"/>
      <c r="H464" s="38"/>
      <c r="I464" s="40"/>
      <c r="J464" s="39"/>
      <c r="K464" s="37"/>
      <c r="L464" s="37"/>
      <c r="M464" s="60"/>
      <c r="N464" s="61"/>
      <c r="O464" s="62"/>
      <c r="P464" s="77"/>
    </row>
    <row r="465" spans="1:19" x14ac:dyDescent="0.2">
      <c r="A465" s="77"/>
      <c r="B465" s="77"/>
      <c r="C465" s="77"/>
      <c r="D465" s="31"/>
      <c r="G465" s="88"/>
      <c r="H465" s="63"/>
      <c r="I465" s="26"/>
      <c r="J465" s="26"/>
      <c r="K465" s="88"/>
      <c r="L465" s="77"/>
      <c r="M465" s="77"/>
      <c r="N465" s="77"/>
      <c r="O465" s="77"/>
      <c r="P465" s="64"/>
      <c r="Q465" s="64"/>
      <c r="R465" s="31" t="s">
        <v>148</v>
      </c>
      <c r="S465" s="189">
        <f>646657260+16357255</f>
        <v>663014515</v>
      </c>
    </row>
    <row r="466" spans="1:19" hidden="1" x14ac:dyDescent="0.2">
      <c r="A466" s="77"/>
      <c r="B466" s="77"/>
      <c r="C466" s="77"/>
      <c r="G466" s="88"/>
      <c r="H466" s="63"/>
      <c r="I466" s="26"/>
      <c r="J466" s="26"/>
      <c r="K466" s="88"/>
      <c r="L466" s="77"/>
      <c r="M466" s="77"/>
      <c r="N466" s="77"/>
      <c r="O466" s="77"/>
      <c r="P466" s="77"/>
      <c r="Q466" s="77"/>
      <c r="R466" s="77"/>
      <c r="S466" s="189"/>
    </row>
    <row r="467" spans="1:19" hidden="1" x14ac:dyDescent="0.2">
      <c r="A467" s="77"/>
      <c r="B467" s="77"/>
      <c r="C467" s="77"/>
      <c r="G467" s="26"/>
      <c r="H467" s="271"/>
      <c r="I467" s="88"/>
      <c r="J467" s="88"/>
      <c r="K467" s="88"/>
      <c r="L467" s="77"/>
      <c r="M467" s="77"/>
      <c r="N467" s="77"/>
      <c r="O467" s="77"/>
      <c r="P467" s="77"/>
      <c r="Q467" s="77"/>
      <c r="R467" s="77"/>
      <c r="S467" s="189"/>
    </row>
    <row r="468" spans="1:19" x14ac:dyDescent="0.2">
      <c r="A468" s="77"/>
      <c r="B468" s="77"/>
      <c r="C468" s="77"/>
      <c r="D468" s="31"/>
      <c r="G468" s="26"/>
      <c r="H468" s="271"/>
      <c r="I468" s="88"/>
      <c r="J468" s="88"/>
      <c r="K468" s="88"/>
      <c r="L468" s="425" t="s">
        <v>325</v>
      </c>
      <c r="M468" s="426"/>
      <c r="N468" s="426"/>
      <c r="O468" s="426"/>
      <c r="P468" s="77" t="s">
        <v>302</v>
      </c>
      <c r="Q468" s="179">
        <v>0</v>
      </c>
      <c r="R468" s="77" t="s">
        <v>269</v>
      </c>
      <c r="S468" s="189">
        <v>72037500</v>
      </c>
    </row>
    <row r="469" spans="1:19" x14ac:dyDescent="0.2">
      <c r="A469" s="77"/>
      <c r="B469" s="77"/>
      <c r="C469" s="77"/>
      <c r="D469" s="31"/>
      <c r="G469" s="88"/>
      <c r="H469" s="271"/>
      <c r="I469" s="88"/>
      <c r="J469" s="88"/>
      <c r="K469" s="88"/>
      <c r="L469" s="425" t="s">
        <v>328</v>
      </c>
      <c r="M469" s="426"/>
      <c r="N469" s="426"/>
      <c r="O469" s="426"/>
      <c r="P469" s="77" t="s">
        <v>268</v>
      </c>
      <c r="Q469" s="179">
        <f>84360332+2823806+8799000</f>
        <v>95983138</v>
      </c>
      <c r="R469" s="77" t="s">
        <v>149</v>
      </c>
      <c r="S469" s="190">
        <v>0</v>
      </c>
    </row>
    <row r="470" spans="1:19" hidden="1" x14ac:dyDescent="0.2">
      <c r="A470" s="77"/>
      <c r="B470" s="77"/>
      <c r="C470" s="77"/>
      <c r="G470" s="88"/>
      <c r="H470" s="271"/>
      <c r="I470" s="88"/>
      <c r="J470" s="88"/>
      <c r="K470" s="88"/>
      <c r="L470" s="26"/>
      <c r="M470" s="88"/>
      <c r="N470" s="88"/>
      <c r="O470" s="77"/>
      <c r="P470" s="77"/>
      <c r="Q470" s="179"/>
      <c r="R470" s="77"/>
      <c r="S470" s="77"/>
    </row>
    <row r="471" spans="1:19" hidden="1" x14ac:dyDescent="0.2">
      <c r="A471" s="77"/>
      <c r="B471" s="77"/>
      <c r="C471" s="77"/>
      <c r="G471" s="88"/>
      <c r="H471" s="271"/>
      <c r="I471" s="88"/>
      <c r="J471" s="88"/>
      <c r="K471" s="88"/>
      <c r="L471" s="88"/>
      <c r="M471" s="88"/>
      <c r="N471" s="88"/>
      <c r="O471" s="77"/>
      <c r="P471" s="77"/>
      <c r="Q471" s="179"/>
      <c r="R471" s="77"/>
      <c r="S471" s="77"/>
    </row>
    <row r="472" spans="1:19" hidden="1" x14ac:dyDescent="0.2">
      <c r="A472" s="77"/>
      <c r="B472" s="77"/>
      <c r="C472" s="77"/>
      <c r="G472" s="88"/>
      <c r="H472" s="271"/>
      <c r="I472" s="88"/>
      <c r="J472" s="88"/>
      <c r="K472" s="88"/>
      <c r="L472" s="88"/>
      <c r="M472" s="88"/>
      <c r="N472" s="88"/>
      <c r="O472" s="77"/>
      <c r="P472" s="77"/>
      <c r="Q472" s="179"/>
      <c r="R472" s="77"/>
      <c r="S472" s="77"/>
    </row>
    <row r="473" spans="1:19" hidden="1" x14ac:dyDescent="0.2">
      <c r="A473" s="77"/>
      <c r="B473" s="77"/>
      <c r="C473" s="77"/>
      <c r="G473" s="88"/>
      <c r="H473" s="65"/>
      <c r="I473" s="200"/>
      <c r="J473" s="200"/>
      <c r="K473" s="88"/>
      <c r="L473" s="88"/>
      <c r="M473" s="88"/>
      <c r="N473" s="88"/>
      <c r="O473" s="77"/>
      <c r="P473" s="77"/>
      <c r="Q473" s="179"/>
      <c r="R473" s="77"/>
      <c r="S473" s="77"/>
    </row>
    <row r="474" spans="1:19" ht="12.75" customHeight="1" x14ac:dyDescent="0.2">
      <c r="A474" s="77"/>
      <c r="B474" s="77"/>
      <c r="C474" s="77"/>
      <c r="D474" s="31"/>
      <c r="G474" s="88"/>
      <c r="H474" s="65"/>
      <c r="I474" s="200"/>
      <c r="J474" s="200"/>
      <c r="K474" s="88"/>
      <c r="L474" s="425" t="s">
        <v>146</v>
      </c>
      <c r="M474" s="426"/>
      <c r="N474" s="426"/>
      <c r="O474" s="426"/>
      <c r="P474" s="77" t="s">
        <v>270</v>
      </c>
      <c r="Q474" s="179">
        <v>0</v>
      </c>
      <c r="R474" s="77" t="s">
        <v>271</v>
      </c>
      <c r="S474" s="179">
        <f>+Q478</f>
        <v>95983138</v>
      </c>
    </row>
    <row r="475" spans="1:19" ht="12.7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425" t="s">
        <v>329</v>
      </c>
      <c r="M475" s="426"/>
      <c r="N475" s="426"/>
      <c r="O475" s="426"/>
      <c r="P475" s="77" t="s">
        <v>147</v>
      </c>
      <c r="Q475" s="179"/>
      <c r="R475" s="77"/>
      <c r="S475" s="278"/>
    </row>
    <row r="476" spans="1:19" ht="14.25" customHeight="1" x14ac:dyDescent="0.2">
      <c r="A476" s="77"/>
      <c r="B476" s="77"/>
      <c r="C476" s="77"/>
      <c r="G476" s="88"/>
      <c r="H476" s="65"/>
      <c r="I476" s="200"/>
      <c r="J476" s="200"/>
      <c r="K476" s="88"/>
      <c r="L476" s="88"/>
      <c r="M476" s="88"/>
      <c r="N476" s="88"/>
      <c r="O476" s="77"/>
      <c r="P476" s="77" t="s">
        <v>151</v>
      </c>
      <c r="Q476" s="179"/>
      <c r="R476" s="277" t="s">
        <v>152</v>
      </c>
      <c r="S476" s="279">
        <f>SUM(S465:S474)</f>
        <v>831035153</v>
      </c>
    </row>
    <row r="477" spans="1:19" ht="14.25" customHeight="1" x14ac:dyDescent="0.2">
      <c r="A477" s="77"/>
      <c r="B477" s="77"/>
      <c r="C477" s="77"/>
      <c r="G477" s="88"/>
      <c r="H477" s="65"/>
      <c r="I477" s="200"/>
      <c r="J477" s="200"/>
      <c r="K477" s="88"/>
      <c r="L477" s="88"/>
      <c r="M477" s="88"/>
      <c r="N477" s="88"/>
      <c r="O477" s="77"/>
      <c r="P477" s="77" t="s">
        <v>274</v>
      </c>
      <c r="Q477" s="179"/>
      <c r="R477" s="77"/>
      <c r="S477" s="179"/>
    </row>
    <row r="478" spans="1:19" x14ac:dyDescent="0.2">
      <c r="A478" s="77"/>
      <c r="B478" s="77"/>
      <c r="C478" s="77"/>
      <c r="G478" s="66"/>
      <c r="H478" s="65"/>
      <c r="I478" s="200"/>
      <c r="J478" s="200"/>
      <c r="K478" s="88"/>
      <c r="L478" s="427" t="s">
        <v>330</v>
      </c>
      <c r="M478" s="427"/>
      <c r="N478" s="427"/>
      <c r="O478" s="427"/>
      <c r="P478" s="277" t="s">
        <v>273</v>
      </c>
      <c r="Q478" s="280">
        <f>SUM(Q468:Q477)</f>
        <v>95983138</v>
      </c>
      <c r="R478" s="192" t="s">
        <v>150</v>
      </c>
      <c r="S478" s="191">
        <f>+L462-S476</f>
        <v>0</v>
      </c>
    </row>
    <row r="479" spans="1:19" ht="15" customHeight="1" x14ac:dyDescent="0.2">
      <c r="A479" s="77"/>
      <c r="B479" s="77"/>
      <c r="C479" s="77"/>
      <c r="G479" s="67"/>
      <c r="H479" s="271"/>
      <c r="I479" s="88"/>
      <c r="J479" s="88"/>
      <c r="K479" s="88"/>
      <c r="L479" s="428" t="s">
        <v>331</v>
      </c>
      <c r="M479" s="428"/>
      <c r="N479" s="428"/>
      <c r="O479" s="428"/>
      <c r="P479" s="77"/>
      <c r="Q479" s="77"/>
      <c r="R479" s="192" t="s">
        <v>272</v>
      </c>
      <c r="S479" s="191">
        <f>+S476+S478+1343435000</f>
        <v>2174470153</v>
      </c>
    </row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</sheetData>
  <mergeCells count="239">
    <mergeCell ref="L469:O469"/>
    <mergeCell ref="L478:O478"/>
    <mergeCell ref="L479:O479"/>
    <mergeCell ref="I462:I463"/>
    <mergeCell ref="J462:J463"/>
    <mergeCell ref="M462:M463"/>
    <mergeCell ref="N462:N463"/>
    <mergeCell ref="L474:O474"/>
    <mergeCell ref="A462:B463"/>
    <mergeCell ref="C462:C463"/>
    <mergeCell ref="D462:D463"/>
    <mergeCell ref="O462:O463"/>
    <mergeCell ref="L468:O468"/>
    <mergeCell ref="H462:H463"/>
    <mergeCell ref="L462:L463"/>
    <mergeCell ref="F462:F463"/>
    <mergeCell ref="G462:G463"/>
    <mergeCell ref="L475:O475"/>
    <mergeCell ref="G385:J385"/>
    <mergeCell ref="K385:N385"/>
    <mergeCell ref="A438:A440"/>
    <mergeCell ref="B438:B440"/>
    <mergeCell ref="C438:C440"/>
    <mergeCell ref="D438:D440"/>
    <mergeCell ref="G438:J438"/>
    <mergeCell ref="K438:N438"/>
    <mergeCell ref="A381:O381"/>
    <mergeCell ref="A382:O382"/>
    <mergeCell ref="A383:O383"/>
    <mergeCell ref="A384:A386"/>
    <mergeCell ref="B384:B386"/>
    <mergeCell ref="C384:C386"/>
    <mergeCell ref="D384:D386"/>
    <mergeCell ref="G384:J384"/>
    <mergeCell ref="K384:N384"/>
    <mergeCell ref="O384:O386"/>
    <mergeCell ref="O438:O440"/>
    <mergeCell ref="G439:J439"/>
    <mergeCell ref="K439:N439"/>
    <mergeCell ref="A357:A358"/>
    <mergeCell ref="B357:B358"/>
    <mergeCell ref="C357:C358"/>
    <mergeCell ref="D357:D358"/>
    <mergeCell ref="G357:G358"/>
    <mergeCell ref="H357:H358"/>
    <mergeCell ref="I357:I358"/>
    <mergeCell ref="A326:O326"/>
    <mergeCell ref="A327:A329"/>
    <mergeCell ref="B327:B329"/>
    <mergeCell ref="C327:C329"/>
    <mergeCell ref="D327:D329"/>
    <mergeCell ref="G327:J327"/>
    <mergeCell ref="K327:N327"/>
    <mergeCell ref="J357:J358"/>
    <mergeCell ref="K357:K358"/>
    <mergeCell ref="L357:L358"/>
    <mergeCell ref="M357:M358"/>
    <mergeCell ref="N357:N358"/>
    <mergeCell ref="O357:O358"/>
    <mergeCell ref="O327:O329"/>
    <mergeCell ref="G328:J328"/>
    <mergeCell ref="K328:N328"/>
    <mergeCell ref="A272:O272"/>
    <mergeCell ref="G256:G257"/>
    <mergeCell ref="H256:H257"/>
    <mergeCell ref="I256:I257"/>
    <mergeCell ref="J256:J257"/>
    <mergeCell ref="K256:K257"/>
    <mergeCell ref="L256:L257"/>
    <mergeCell ref="A256:A257"/>
    <mergeCell ref="B256:B257"/>
    <mergeCell ref="C256:C257"/>
    <mergeCell ref="D256:D257"/>
    <mergeCell ref="E256:E257"/>
    <mergeCell ref="F256:F257"/>
    <mergeCell ref="M256:M257"/>
    <mergeCell ref="N256:N257"/>
    <mergeCell ref="O256:O257"/>
    <mergeCell ref="A270:O270"/>
    <mergeCell ref="A271:O271"/>
    <mergeCell ref="O176:O177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J193:J194"/>
    <mergeCell ref="K193:K194"/>
    <mergeCell ref="L193:L194"/>
    <mergeCell ref="M193:M194"/>
    <mergeCell ref="N193:N194"/>
    <mergeCell ref="O193:O194"/>
    <mergeCell ref="I193:I194"/>
    <mergeCell ref="I176:I177"/>
    <mergeCell ref="J176:J177"/>
    <mergeCell ref="K176:K177"/>
    <mergeCell ref="L176:L177"/>
    <mergeCell ref="M176:M177"/>
    <mergeCell ref="N176:N177"/>
    <mergeCell ref="A176:A177"/>
    <mergeCell ref="B176:B177"/>
    <mergeCell ref="G176:G177"/>
    <mergeCell ref="H176:H177"/>
    <mergeCell ref="C176:C177"/>
    <mergeCell ref="D176:D177"/>
    <mergeCell ref="E176:E177"/>
    <mergeCell ref="F176:F177"/>
    <mergeCell ref="H126:H127"/>
    <mergeCell ref="M113:M114"/>
    <mergeCell ref="N113:N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A113:A114"/>
    <mergeCell ref="B113:B114"/>
    <mergeCell ref="C113:C114"/>
    <mergeCell ref="D113:D114"/>
    <mergeCell ref="E113:E114"/>
    <mergeCell ref="F113:F114"/>
    <mergeCell ref="J98:J99"/>
    <mergeCell ref="K98:K99"/>
    <mergeCell ref="L98:L99"/>
    <mergeCell ref="M98:M99"/>
    <mergeCell ref="N98:N99"/>
    <mergeCell ref="O98:O99"/>
    <mergeCell ref="I126:I127"/>
    <mergeCell ref="J126:J127"/>
    <mergeCell ref="K126:K127"/>
    <mergeCell ref="L126:L127"/>
    <mergeCell ref="M126:M127"/>
    <mergeCell ref="O113:O114"/>
    <mergeCell ref="I113:I114"/>
    <mergeCell ref="J113:J114"/>
    <mergeCell ref="K113:K114"/>
    <mergeCell ref="L113:L114"/>
    <mergeCell ref="N126:N127"/>
    <mergeCell ref="O126:O127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C77:C78"/>
    <mergeCell ref="D77:D78"/>
    <mergeCell ref="E77:E78"/>
    <mergeCell ref="F77:F78"/>
    <mergeCell ref="G77:G78"/>
    <mergeCell ref="H77:H78"/>
    <mergeCell ref="H62:H63"/>
    <mergeCell ref="M47:M48"/>
    <mergeCell ref="N47:N48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K62:K63"/>
    <mergeCell ref="L62:L63"/>
    <mergeCell ref="M62:M63"/>
    <mergeCell ref="A47:A48"/>
    <mergeCell ref="B47:B48"/>
    <mergeCell ref="C47:C48"/>
    <mergeCell ref="D47:D48"/>
    <mergeCell ref="E47:E48"/>
    <mergeCell ref="F47:F48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K274:N274"/>
    <mergeCell ref="G274:J274"/>
    <mergeCell ref="O273:O275"/>
    <mergeCell ref="K273:N273"/>
    <mergeCell ref="G273:J273"/>
    <mergeCell ref="D273:D275"/>
    <mergeCell ref="C273:C275"/>
    <mergeCell ref="B273:B275"/>
    <mergeCell ref="A273:A275"/>
  </mergeCells>
  <pageMargins left="0.59055118110236227" right="0.31496062992125984" top="0.51181102362204722" bottom="1.1023622047244095" header="0.31496062992125984" footer="0.82677165354330717"/>
  <pageSetup paperSize="9" scale="7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K28" sqref="K2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327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0</v>
      </c>
      <c r="G8" s="107">
        <f>F8/E8</f>
        <v>0</v>
      </c>
      <c r="H8" s="105">
        <f>SUM(H9:H11)</f>
        <v>0</v>
      </c>
      <c r="I8" s="108">
        <f>H8/E8</f>
        <v>0</v>
      </c>
      <c r="J8" s="109">
        <f>C8-H8</f>
        <v>19752647100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 t="shared" ref="E9:E20" si="0">D9+C9</f>
        <v>1121402300</v>
      </c>
      <c r="F9" s="113">
        <f>+jan!I30</f>
        <v>0</v>
      </c>
      <c r="G9" s="115">
        <f>F9/E9</f>
        <v>0</v>
      </c>
      <c r="H9" s="113">
        <f>+jan!M30</f>
        <v>0</v>
      </c>
      <c r="I9" s="115">
        <f>H9/E9</f>
        <v>0</v>
      </c>
      <c r="J9" s="116">
        <f>E9-H9</f>
        <v>1121402300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 t="shared" si="0"/>
        <v>17972244800</v>
      </c>
      <c r="F10" s="113">
        <f>+jan!I62</f>
        <v>0</v>
      </c>
      <c r="G10" s="115">
        <f t="shared" ref="G10:G20" si="1">F10/E10</f>
        <v>0</v>
      </c>
      <c r="H10" s="113">
        <f>+jan!M62</f>
        <v>0</v>
      </c>
      <c r="I10" s="115">
        <f t="shared" ref="I10:I20" si="2">H10/E10</f>
        <v>0</v>
      </c>
      <c r="J10" s="116">
        <f t="shared" ref="J10:J20" si="3">E10-H10</f>
        <v>17972244800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si="0"/>
        <v>659000000</v>
      </c>
      <c r="F11" s="153">
        <f>+jan!I47</f>
        <v>0</v>
      </c>
      <c r="G11" s="131">
        <f t="shared" si="1"/>
        <v>0</v>
      </c>
      <c r="H11" s="153">
        <f>+jan!M47</f>
        <v>0</v>
      </c>
      <c r="I11" s="131">
        <f t="shared" si="2"/>
        <v>0</v>
      </c>
      <c r="J11" s="154">
        <f t="shared" si="3"/>
        <v>659000000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10703270100</v>
      </c>
      <c r="D12" s="157">
        <f>SUM(D13:D15)</f>
        <v>0</v>
      </c>
      <c r="E12" s="126">
        <f t="shared" si="0"/>
        <v>10703270100</v>
      </c>
      <c r="F12" s="158">
        <f>SUM(F13:F15)</f>
        <v>0</v>
      </c>
      <c r="G12" s="129">
        <f>F12/E12</f>
        <v>0</v>
      </c>
      <c r="H12" s="157">
        <f>SUM(H13:H15)</f>
        <v>0</v>
      </c>
      <c r="I12" s="129">
        <f>H12/E12</f>
        <v>0</v>
      </c>
      <c r="J12" s="159">
        <f t="shared" ref="J12:J16" si="4">C12-H12</f>
        <v>10703270100</v>
      </c>
    </row>
    <row r="13" spans="1:10" s="102" customFormat="1" ht="16.5" customHeight="1" x14ac:dyDescent="0.25">
      <c r="A13" s="111" t="s">
        <v>121</v>
      </c>
      <c r="B13" s="112" t="s">
        <v>141</v>
      </c>
      <c r="C13" s="113">
        <f>+jan!D98</f>
        <v>2244824800</v>
      </c>
      <c r="D13" s="113"/>
      <c r="E13" s="114">
        <f t="shared" si="0"/>
        <v>2244824800</v>
      </c>
      <c r="F13" s="113">
        <f>+jan!I98</f>
        <v>0</v>
      </c>
      <c r="G13" s="115">
        <f t="shared" si="1"/>
        <v>0</v>
      </c>
      <c r="H13" s="113">
        <f>+jan!M98</f>
        <v>0</v>
      </c>
      <c r="I13" s="115">
        <f t="shared" si="2"/>
        <v>0</v>
      </c>
      <c r="J13" s="116">
        <f t="shared" si="3"/>
        <v>2244824800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0"/>
        <v>6035935000</v>
      </c>
      <c r="F14" s="113">
        <f>+jan!I77</f>
        <v>0</v>
      </c>
      <c r="G14" s="115">
        <f t="shared" si="1"/>
        <v>0</v>
      </c>
      <c r="H14" s="113">
        <f>+jan!M77</f>
        <v>0</v>
      </c>
      <c r="I14" s="115">
        <f t="shared" si="2"/>
        <v>0</v>
      </c>
      <c r="J14" s="116">
        <f t="shared" si="3"/>
        <v>6035935000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0"/>
        <v>2422510300</v>
      </c>
      <c r="F15" s="119">
        <f>+jan!I113</f>
        <v>0</v>
      </c>
      <c r="G15" s="121">
        <f t="shared" si="1"/>
        <v>0</v>
      </c>
      <c r="H15" s="119">
        <f>+jan!M113</f>
        <v>0</v>
      </c>
      <c r="I15" s="131">
        <f t="shared" si="2"/>
        <v>0</v>
      </c>
      <c r="J15" s="122">
        <f t="shared" si="3"/>
        <v>2422510300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0"/>
        <v>40479750893</v>
      </c>
      <c r="F16" s="127">
        <f>SUM(F17:F20)</f>
        <v>831035153</v>
      </c>
      <c r="G16" s="128">
        <f>F16/E16</f>
        <v>2.0529650866594328E-2</v>
      </c>
      <c r="H16" s="125">
        <f>SUM(H17:H20)</f>
        <v>831035153</v>
      </c>
      <c r="I16" s="129">
        <f>H16/E16</f>
        <v>2.0529650866594328E-2</v>
      </c>
      <c r="J16" s="130">
        <f t="shared" si="4"/>
        <v>39648715740</v>
      </c>
    </row>
    <row r="17" spans="1:11" s="102" customFormat="1" ht="16.5" customHeight="1" x14ac:dyDescent="0.25">
      <c r="A17" s="111" t="s">
        <v>121</v>
      </c>
      <c r="B17" s="307" t="s">
        <v>320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+jan!I126</f>
        <v>0</v>
      </c>
      <c r="G17" s="115">
        <f t="shared" si="1"/>
        <v>0</v>
      </c>
      <c r="H17" s="133">
        <f>+jan!M126</f>
        <v>0</v>
      </c>
      <c r="I17" s="115">
        <f t="shared" si="2"/>
        <v>0</v>
      </c>
      <c r="J17" s="116">
        <f t="shared" si="3"/>
        <v>1117572900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+jan!I193</f>
        <v>0</v>
      </c>
      <c r="G18" s="115">
        <f>F18/E18</f>
        <v>0</v>
      </c>
      <c r="H18" s="133">
        <f>+jan!M193</f>
        <v>0</v>
      </c>
      <c r="I18" s="115">
        <f t="shared" si="2"/>
        <v>0</v>
      </c>
      <c r="J18" s="116">
        <f t="shared" si="3"/>
        <v>1189109400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+jan!I256</f>
        <v>168020638</v>
      </c>
      <c r="G19" s="115">
        <f t="shared" ref="G19" si="6">F19/E19</f>
        <v>1.3794316536574052E-2</v>
      </c>
      <c r="H19" s="133">
        <f>+jan!M256</f>
        <v>168020638</v>
      </c>
      <c r="I19" s="115">
        <f t="shared" ref="I19" si="7">H19/E19</f>
        <v>1.3794316536574052E-2</v>
      </c>
      <c r="J19" s="116">
        <f t="shared" ref="J19" si="8">E19-H19</f>
        <v>12012404362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0"/>
        <v>25992643593</v>
      </c>
      <c r="F20" s="133">
        <f>+jan!I176</f>
        <v>663014515</v>
      </c>
      <c r="G20" s="115">
        <f t="shared" si="1"/>
        <v>2.5507775406829122E-2</v>
      </c>
      <c r="H20" s="133">
        <f>+jan!M176</f>
        <v>663014515</v>
      </c>
      <c r="I20" s="115">
        <f t="shared" si="2"/>
        <v>2.5507775406829122E-2</v>
      </c>
      <c r="J20" s="116">
        <f t="shared" si="3"/>
        <v>25329629078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70935668093</v>
      </c>
      <c r="D21" s="163">
        <f>D16+D12+D8</f>
        <v>0</v>
      </c>
      <c r="E21" s="164">
        <f>D21+C21</f>
        <v>70935668093</v>
      </c>
      <c r="F21" s="164">
        <f>F16+F12+F8</f>
        <v>831035153</v>
      </c>
      <c r="G21" s="165">
        <f>F21/E21</f>
        <v>1.1715335533464967E-2</v>
      </c>
      <c r="H21" s="166">
        <f>H16+H12+H8</f>
        <v>831035153</v>
      </c>
      <c r="I21" s="165">
        <f>H21/E21</f>
        <v>1.1715335533464967E-2</v>
      </c>
      <c r="J21" s="167">
        <f>E21-H21</f>
        <v>70104632940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H24" s="443" t="s">
        <v>326</v>
      </c>
      <c r="I24" s="443"/>
      <c r="J24" s="443"/>
    </row>
    <row r="25" spans="1:11" x14ac:dyDescent="0.25">
      <c r="H25" s="444" t="s">
        <v>332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 t="s">
        <v>329</v>
      </c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27" t="s">
        <v>330</v>
      </c>
      <c r="I30" s="427"/>
      <c r="J30" s="427"/>
      <c r="K30" s="66"/>
    </row>
    <row r="31" spans="1:11" x14ac:dyDescent="0.25">
      <c r="H31" s="428" t="s">
        <v>331</v>
      </c>
      <c r="I31" s="428"/>
      <c r="J31" s="428"/>
      <c r="K31" s="26"/>
    </row>
  </sheetData>
  <mergeCells count="16"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30:J30"/>
    <mergeCell ref="H31:J31"/>
    <mergeCell ref="H27:J27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4"/>
  <sheetViews>
    <sheetView zoomScale="84" zoomScaleNormal="84" workbookViewId="0">
      <selection activeCell="V17" sqref="V17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jan'!F9</f>
        <v>0</v>
      </c>
      <c r="E4" s="195">
        <f>+'Rekap jan'!H9</f>
        <v>0</v>
      </c>
    </row>
    <row r="5" spans="2:5" x14ac:dyDescent="0.25">
      <c r="B5" t="s">
        <v>287</v>
      </c>
      <c r="C5" s="195">
        <f>+'Rekap jan'!C10</f>
        <v>17972244800</v>
      </c>
      <c r="D5" s="195">
        <f>+'Rekap jan'!F10</f>
        <v>0</v>
      </c>
      <c r="E5" s="195">
        <f>+'Rekap jan'!H10</f>
        <v>0</v>
      </c>
    </row>
    <row r="6" spans="2:5" x14ac:dyDescent="0.25">
      <c r="B6" t="s">
        <v>288</v>
      </c>
      <c r="C6" s="195">
        <f>+'Rekap jan'!C11</f>
        <v>659000000</v>
      </c>
      <c r="D6" s="195">
        <f>+'Rekap jan'!F11</f>
        <v>0</v>
      </c>
      <c r="E6" s="195">
        <f>+'Rekap jan'!H11</f>
        <v>0</v>
      </c>
    </row>
    <row r="7" spans="2:5" x14ac:dyDescent="0.25">
      <c r="B7" t="s">
        <v>289</v>
      </c>
      <c r="C7" s="195">
        <f>+'Rekap jan'!C13</f>
        <v>2244824800</v>
      </c>
      <c r="D7" s="195">
        <f>+'Rekap jan'!F13</f>
        <v>0</v>
      </c>
      <c r="E7" s="195">
        <f>+'Rekap jan'!H13</f>
        <v>0</v>
      </c>
    </row>
    <row r="8" spans="2:5" x14ac:dyDescent="0.25">
      <c r="B8" t="s">
        <v>284</v>
      </c>
      <c r="C8" s="195">
        <f>+'Rekap jan'!C14</f>
        <v>6035935000</v>
      </c>
      <c r="D8" s="195">
        <f>+'Rekap jan'!F14</f>
        <v>0</v>
      </c>
      <c r="E8" s="195">
        <f>+'Rekap jan'!H14</f>
        <v>0</v>
      </c>
    </row>
    <row r="9" spans="2:5" x14ac:dyDescent="0.25">
      <c r="B9" t="s">
        <v>290</v>
      </c>
      <c r="C9" s="195">
        <f>+'Rekap jan'!C15</f>
        <v>2422510300</v>
      </c>
      <c r="D9" s="195">
        <f>+'Rekap jan'!F15</f>
        <v>0</v>
      </c>
      <c r="E9" s="195">
        <f>+'Rekap jan'!H15</f>
        <v>0</v>
      </c>
    </row>
    <row r="10" spans="2:5" x14ac:dyDescent="0.25">
      <c r="B10" t="s">
        <v>294</v>
      </c>
      <c r="C10" s="195">
        <f>+'Rekap jan'!C17</f>
        <v>1117572900</v>
      </c>
      <c r="D10" s="195">
        <f>+'Rekap jan'!F17</f>
        <v>0</v>
      </c>
      <c r="E10" s="195">
        <f>+'Rekap jan'!H15</f>
        <v>0</v>
      </c>
    </row>
    <row r="11" spans="2:5" x14ac:dyDescent="0.25">
      <c r="B11" t="s">
        <v>291</v>
      </c>
      <c r="C11" s="195">
        <f>+'Rekap jan'!C18</f>
        <v>1189109400</v>
      </c>
      <c r="D11" s="195">
        <f>+'Rekap jan'!F18</f>
        <v>0</v>
      </c>
      <c r="E11" s="195">
        <f>+'Rekap jan'!H18</f>
        <v>0</v>
      </c>
    </row>
    <row r="12" spans="2:5" x14ac:dyDescent="0.25">
      <c r="B12" t="s">
        <v>292</v>
      </c>
      <c r="C12" s="195">
        <f>+'Rekap jan'!C19</f>
        <v>12180425000</v>
      </c>
      <c r="D12" s="195">
        <f>+'Rekap jan'!F19</f>
        <v>168020638</v>
      </c>
      <c r="E12" s="195">
        <f>+'Rekap jan'!H19</f>
        <v>168020638</v>
      </c>
    </row>
    <row r="13" spans="2:5" x14ac:dyDescent="0.25">
      <c r="B13" t="s">
        <v>293</v>
      </c>
      <c r="C13" s="195">
        <f>+'Rekap jan'!C20</f>
        <v>25992643593</v>
      </c>
      <c r="D13" s="195">
        <f>+'Rekap jan'!F20</f>
        <v>663014515</v>
      </c>
      <c r="E13" s="195">
        <f>+'Rekap jan'!H20</f>
        <v>663014515</v>
      </c>
    </row>
    <row r="14" spans="2:5" x14ac:dyDescent="0.25">
      <c r="C14" s="308">
        <f>SUM(C4:C13)</f>
        <v>70935668093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89"/>
  <sheetViews>
    <sheetView view="pageBreakPreview" topLeftCell="A7" zoomScale="110" zoomScaleSheetLayoutView="110" workbookViewId="0">
      <selection activeCell="I18" sqref="I18"/>
    </sheetView>
  </sheetViews>
  <sheetFormatPr defaultRowHeight="14.25" x14ac:dyDescent="0.2"/>
  <cols>
    <col min="1" max="1" width="5.42578125" style="88" customWidth="1"/>
    <col min="2" max="2" width="14.7109375" style="68" customWidth="1"/>
    <col min="3" max="3" width="46.28515625" style="68" customWidth="1"/>
    <col min="4" max="4" width="15.85546875" style="5" hidden="1" customWidth="1"/>
    <col min="5" max="5" width="18.140625" style="5" hidden="1" customWidth="1"/>
    <col min="6" max="6" width="16.7109375" style="5" customWidth="1"/>
    <col min="7" max="7" width="12.5703125" style="68" customWidth="1"/>
    <col min="8" max="8" width="14" style="71" customWidth="1"/>
    <col min="9" max="9" width="14" style="68" customWidth="1"/>
    <col min="10" max="10" width="7.140625" style="68" customWidth="1"/>
    <col min="11" max="11" width="13" style="68" customWidth="1"/>
    <col min="12" max="12" width="13.85546875" style="68" customWidth="1"/>
    <col min="13" max="13" width="14.42578125" style="68" customWidth="1"/>
    <col min="14" max="14" width="7" style="68" customWidth="1"/>
    <col min="15" max="15" width="15.570312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7.140625" style="68" customWidth="1"/>
    <col min="20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333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63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0</v>
      </c>
      <c r="H12" s="10">
        <f t="shared" si="0"/>
        <v>75604220</v>
      </c>
      <c r="I12" s="10">
        <f>+G12+H12</f>
        <v>75604220</v>
      </c>
      <c r="J12" s="168">
        <f>+I12/F12</f>
        <v>6.7419355212665427E-2</v>
      </c>
      <c r="K12" s="10">
        <f t="shared" ref="K12:L12" si="1">+K14+K24</f>
        <v>0</v>
      </c>
      <c r="L12" s="10">
        <f t="shared" si="1"/>
        <v>75437020</v>
      </c>
      <c r="M12" s="180">
        <f>+K12+L12</f>
        <v>75437020</v>
      </c>
      <c r="N12" s="169">
        <f>+M12/F12</f>
        <v>6.727025617835812E-2</v>
      </c>
      <c r="O12" s="10">
        <f>+F12-M12</f>
        <v>1045965280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178">
        <f>+D14+E14</f>
        <v>923587300</v>
      </c>
      <c r="G14" s="178">
        <f>+G16+G20+G18</f>
        <v>0</v>
      </c>
      <c r="H14" s="178">
        <f>+H16+H20+H18</f>
        <v>71749420</v>
      </c>
      <c r="I14" s="10">
        <f>+G14+H14</f>
        <v>71749420</v>
      </c>
      <c r="J14" s="168">
        <f>+I14/F14</f>
        <v>7.7685585325826811E-2</v>
      </c>
      <c r="K14" s="178">
        <f>+K16+K20+K18</f>
        <v>0</v>
      </c>
      <c r="L14" s="178">
        <f>+L16+L20+L18</f>
        <v>71747020</v>
      </c>
      <c r="M14" s="180">
        <f>+K14+L14</f>
        <v>71747020</v>
      </c>
      <c r="N14" s="169">
        <f>+M14/F14</f>
        <v>7.7682986762594067E-2</v>
      </c>
      <c r="O14" s="10">
        <f>+F14-M14</f>
        <v>851840280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5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+jan!I16</f>
        <v>0</v>
      </c>
      <c r="H16" s="80">
        <f>9021200+32678220</f>
        <v>41699420</v>
      </c>
      <c r="I16" s="15">
        <f>+G16+H16</f>
        <v>41699420</v>
      </c>
      <c r="J16" s="143">
        <f>+I16/F16</f>
        <v>0.10161675232728749</v>
      </c>
      <c r="K16" s="80">
        <f>+jan!M16</f>
        <v>0</v>
      </c>
      <c r="L16" s="80">
        <f>32678220+9018800</f>
        <v>41697020</v>
      </c>
      <c r="M16" s="80">
        <f>+K16+L16</f>
        <v>41697020</v>
      </c>
      <c r="N16" s="171">
        <f>+M16/F16</f>
        <v>0.10161090379976397</v>
      </c>
      <c r="O16" s="15">
        <f>+F16-M16</f>
        <v>368662680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+jan!I18</f>
        <v>0</v>
      </c>
      <c r="H18" s="79">
        <v>30050000</v>
      </c>
      <c r="I18" s="15">
        <f>+G18+H18</f>
        <v>30050000</v>
      </c>
      <c r="J18" s="143">
        <f>+I18/F18</f>
        <v>7.0172964096662613E-2</v>
      </c>
      <c r="K18" s="80">
        <f>+jan!M18</f>
        <v>0</v>
      </c>
      <c r="L18" s="80">
        <v>30050000</v>
      </c>
      <c r="M18" s="80">
        <f>+K18+L18</f>
        <v>30050000</v>
      </c>
      <c r="N18" s="171">
        <f>+M18/F18</f>
        <v>7.0172964096662613E-2</v>
      </c>
      <c r="O18" s="15">
        <f>+F18-M18</f>
        <v>398177600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+jan!I20</f>
        <v>0</v>
      </c>
      <c r="H20" s="79">
        <v>0</v>
      </c>
      <c r="I20" s="15">
        <f>+G20+H20</f>
        <v>0</v>
      </c>
      <c r="J20" s="143">
        <f>+I20/F20</f>
        <v>0</v>
      </c>
      <c r="K20" s="80">
        <f>+jan!M20</f>
        <v>0</v>
      </c>
      <c r="L20" s="80">
        <v>0</v>
      </c>
      <c r="M20" s="80">
        <f>+K20+L20</f>
        <v>0</v>
      </c>
      <c r="N20" s="171">
        <f>+M20/F20</f>
        <v>0</v>
      </c>
      <c r="O20" s="15">
        <f>+F20-M20</f>
        <v>85000000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0</v>
      </c>
      <c r="H22" s="224">
        <f>+H16+H20+H18</f>
        <v>71749420</v>
      </c>
      <c r="I22" s="141">
        <f>+G22+H22</f>
        <v>71749420</v>
      </c>
      <c r="J22" s="233">
        <f>+I22/F22</f>
        <v>7.7685585325826811E-2</v>
      </c>
      <c r="K22" s="224">
        <f t="shared" ref="K22:L22" si="7">+K16+K20+K18</f>
        <v>0</v>
      </c>
      <c r="L22" s="224">
        <f t="shared" si="7"/>
        <v>71747020</v>
      </c>
      <c r="M22" s="232">
        <f>+K22+L22</f>
        <v>71747020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0</v>
      </c>
      <c r="H24" s="178">
        <f>+H26</f>
        <v>3854800</v>
      </c>
      <c r="I24" s="10">
        <f>+G24+H24</f>
        <v>3854800</v>
      </c>
      <c r="J24" s="168">
        <f>+I24/F24</f>
        <v>1.9486894320450927E-2</v>
      </c>
      <c r="K24" s="178">
        <f>+K26</f>
        <v>0</v>
      </c>
      <c r="L24" s="178">
        <f t="shared" ref="L24:M24" si="9">+L26</f>
        <v>3690000</v>
      </c>
      <c r="M24" s="178">
        <f t="shared" si="9"/>
        <v>3690000</v>
      </c>
      <c r="N24" s="169">
        <f>+M24/F24</f>
        <v>1.8653792685084547E-2</v>
      </c>
      <c r="O24" s="10">
        <f t="shared" ref="O24" si="10">+D24-M24</f>
        <v>194125000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3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+jan!I26</f>
        <v>0</v>
      </c>
      <c r="H26" s="79">
        <v>3854800</v>
      </c>
      <c r="I26" s="15">
        <f>+G26+H26</f>
        <v>3854800</v>
      </c>
      <c r="J26" s="143">
        <f>+I26/F26</f>
        <v>1.9486894320450927E-2</v>
      </c>
      <c r="K26" s="80">
        <f>+jan!M26</f>
        <v>0</v>
      </c>
      <c r="L26" s="80">
        <v>3690000</v>
      </c>
      <c r="M26" s="80">
        <f>+K26+L26</f>
        <v>3690000</v>
      </c>
      <c r="N26" s="171">
        <f>+M26/F26</f>
        <v>1.8653792685084547E-2</v>
      </c>
      <c r="O26" s="15">
        <f>+F26-M26</f>
        <v>194125000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0</v>
      </c>
      <c r="H28" s="224">
        <f t="shared" si="14"/>
        <v>3854800</v>
      </c>
      <c r="I28" s="232">
        <f>+G28+H28</f>
        <v>3854800</v>
      </c>
      <c r="J28" s="233">
        <f>+I28/F28</f>
        <v>1.9486894320450927E-2</v>
      </c>
      <c r="K28" s="224">
        <f t="shared" ref="K28:L28" si="15">+K26</f>
        <v>0</v>
      </c>
      <c r="L28" s="224">
        <f t="shared" si="15"/>
        <v>3690000</v>
      </c>
      <c r="M28" s="232">
        <f>+K28+L28</f>
        <v>3690000</v>
      </c>
      <c r="N28" s="173">
        <f>+M28/F28</f>
        <v>1.8653792685084547E-2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0</v>
      </c>
      <c r="H30" s="364">
        <f t="shared" si="16"/>
        <v>75604220</v>
      </c>
      <c r="I30" s="364">
        <f>+G30+H30</f>
        <v>75604220</v>
      </c>
      <c r="J30" s="368">
        <f>+I30/F30</f>
        <v>6.7419355212665427E-2</v>
      </c>
      <c r="K30" s="364">
        <f t="shared" ref="K30:L30" si="17">K12</f>
        <v>0</v>
      </c>
      <c r="L30" s="364">
        <f t="shared" si="17"/>
        <v>75437020</v>
      </c>
      <c r="M30" s="364">
        <f>+K30+L30</f>
        <v>75437020</v>
      </c>
      <c r="N30" s="366">
        <f>+M30/F30</f>
        <v>6.727025617835812E-2</v>
      </c>
      <c r="O30" s="364">
        <f>+F30-M30</f>
        <v>1045965280</v>
      </c>
      <c r="P30" s="77"/>
      <c r="Q30" s="6" t="str">
        <f t="shared" ref="Q30:Q31" si="18">IF(M30&lt;=I30,"OKE","Salah")</f>
        <v>OKE</v>
      </c>
      <c r="R30" s="6"/>
    </row>
    <row r="31" spans="1:19" ht="8.2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0</v>
      </c>
      <c r="H35" s="11">
        <f t="shared" si="19"/>
        <v>24700000</v>
      </c>
      <c r="I35" s="10">
        <f>+G35+H35</f>
        <v>24700000</v>
      </c>
      <c r="J35" s="168">
        <f>+I35/F35</f>
        <v>3.7481031866464343E-2</v>
      </c>
      <c r="K35" s="10">
        <f t="shared" ref="K35:L35" si="20">K45</f>
        <v>0</v>
      </c>
      <c r="L35" s="10">
        <f t="shared" si="20"/>
        <v>24625000</v>
      </c>
      <c r="M35" s="10">
        <f>+K35+L35</f>
        <v>24625000</v>
      </c>
      <c r="N35" s="169">
        <f>+M35/F35</f>
        <v>3.736722306525038E-2</v>
      </c>
      <c r="O35" s="10">
        <f>+F35-M35</f>
        <v>634375000</v>
      </c>
      <c r="P35" s="77"/>
      <c r="Q35" s="6" t="str">
        <f t="shared" ref="Q35:Q60" si="21">IF(M35&lt;=I35,"OKE","Salah")</f>
        <v>OKE</v>
      </c>
      <c r="R35" s="6"/>
    </row>
    <row r="36" spans="1:19" ht="8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/>
      <c r="H37" s="187"/>
      <c r="I37" s="180">
        <f>+G37+H37</f>
        <v>0</v>
      </c>
      <c r="J37" s="168">
        <f>+I37/F37</f>
        <v>0</v>
      </c>
      <c r="K37" s="194"/>
      <c r="L37" s="180"/>
      <c r="M37" s="180">
        <f>+K37+L37</f>
        <v>0</v>
      </c>
      <c r="N37" s="169">
        <f>+M37/F37</f>
        <v>0</v>
      </c>
      <c r="O37" s="10">
        <f>+F37-M37</f>
        <v>659000000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+jan!I39</f>
        <v>0</v>
      </c>
      <c r="H39" s="79">
        <v>0</v>
      </c>
      <c r="I39" s="80">
        <f>+G39+H39</f>
        <v>0</v>
      </c>
      <c r="J39" s="143">
        <f>+I39/F39</f>
        <v>0</v>
      </c>
      <c r="K39" s="80">
        <f>+jan!M39</f>
        <v>0</v>
      </c>
      <c r="L39" s="80">
        <v>0</v>
      </c>
      <c r="M39" s="80">
        <f>+K39+L39</f>
        <v>0</v>
      </c>
      <c r="N39" s="171">
        <f>+M39/F39</f>
        <v>0</v>
      </c>
      <c r="O39" s="15">
        <f>+F39-M39</f>
        <v>160000000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+jan!I41</f>
        <v>0</v>
      </c>
      <c r="H41" s="30">
        <v>24050000</v>
      </c>
      <c r="I41" s="80">
        <f>+G41+H41</f>
        <v>24050000</v>
      </c>
      <c r="J41" s="143">
        <f>+I41/F41</f>
        <v>7.5391849529780564E-2</v>
      </c>
      <c r="K41" s="80">
        <f>+jan!M41</f>
        <v>0</v>
      </c>
      <c r="L41" s="15">
        <v>23975000</v>
      </c>
      <c r="M41" s="80">
        <f>+K41+L41</f>
        <v>23975000</v>
      </c>
      <c r="N41" s="171">
        <f>+M41/F41</f>
        <v>7.5156739811912232E-2</v>
      </c>
      <c r="O41" s="15">
        <f>+F41-M41</f>
        <v>295025000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13">
        <v>180000000</v>
      </c>
      <c r="E43" s="14"/>
      <c r="F43" s="13">
        <f>+D43+E43</f>
        <v>180000000</v>
      </c>
      <c r="G43" s="80">
        <f>+jan!I43</f>
        <v>0</v>
      </c>
      <c r="H43" s="79">
        <v>650000</v>
      </c>
      <c r="I43" s="80">
        <f>+G43+H43</f>
        <v>650000</v>
      </c>
      <c r="J43" s="143">
        <f>+I43/F43</f>
        <v>3.6111111111111109E-3</v>
      </c>
      <c r="K43" s="80">
        <f>+jan!M43</f>
        <v>0</v>
      </c>
      <c r="L43" s="80">
        <v>650000</v>
      </c>
      <c r="M43" s="80">
        <f>+K43+L43</f>
        <v>650000</v>
      </c>
      <c r="N43" s="171">
        <f>+M43/F43</f>
        <v>3.6111111111111109E-3</v>
      </c>
      <c r="O43" s="15">
        <f>+F43-M43</f>
        <v>179350000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0</v>
      </c>
      <c r="H45" s="10">
        <f>SUM(H39:H43)</f>
        <v>24700000</v>
      </c>
      <c r="I45" s="10">
        <f>+G45+H45</f>
        <v>24700000</v>
      </c>
      <c r="J45" s="168">
        <f>+I45/F45</f>
        <v>3.7481031866464343E-2</v>
      </c>
      <c r="K45" s="10">
        <f>SUM(K39:K43)</f>
        <v>0</v>
      </c>
      <c r="L45" s="10">
        <f>SUM(L39:L43)</f>
        <v>24625000</v>
      </c>
      <c r="M45" s="10">
        <f>+K45+L45</f>
        <v>24625000</v>
      </c>
      <c r="N45" s="169">
        <f>+M45/F45</f>
        <v>3.736722306525038E-2</v>
      </c>
      <c r="O45" s="10">
        <f>+D45-M45</f>
        <v>634375000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150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0</v>
      </c>
      <c r="H47" s="387">
        <f t="shared" si="23"/>
        <v>24700000</v>
      </c>
      <c r="I47" s="387">
        <f>+G47+H47</f>
        <v>24700000</v>
      </c>
      <c r="J47" s="397">
        <f>+I47/F47</f>
        <v>3.7481031866464343E-2</v>
      </c>
      <c r="K47" s="387">
        <f t="shared" ref="K47:M47" si="24">K45</f>
        <v>0</v>
      </c>
      <c r="L47" s="387">
        <f t="shared" si="24"/>
        <v>24625000</v>
      </c>
      <c r="M47" s="387">
        <f t="shared" si="24"/>
        <v>24625000</v>
      </c>
      <c r="N47" s="394">
        <f>+M47/F47</f>
        <v>3.736722306525038E-2</v>
      </c>
      <c r="O47" s="387">
        <f>+F47-M47</f>
        <v>634375000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451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10">
        <f t="shared" ref="G52:H52" si="26">+G62</f>
        <v>0</v>
      </c>
      <c r="H52" s="10">
        <f t="shared" si="26"/>
        <v>920302000</v>
      </c>
      <c r="I52" s="10">
        <f>+G52+H52</f>
        <v>920302000</v>
      </c>
      <c r="J52" s="168">
        <f>+I52/F52</f>
        <v>5.1206847571985001E-2</v>
      </c>
      <c r="K52" s="10">
        <f t="shared" ref="K52:L52" si="27">+K62</f>
        <v>0</v>
      </c>
      <c r="L52" s="10">
        <f t="shared" si="27"/>
        <v>920293000</v>
      </c>
      <c r="M52" s="10">
        <f>+K52+L52</f>
        <v>920293000</v>
      </c>
      <c r="N52" s="169">
        <f>+M52/F52</f>
        <v>5.1206346799816574E-2</v>
      </c>
      <c r="O52" s="10">
        <f>+F52-M52</f>
        <v>17051951800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80"/>
      <c r="H53" s="79"/>
      <c r="I53" s="80"/>
      <c r="J53" s="86"/>
      <c r="K53" s="80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178">
        <f t="shared" ref="G54:H54" si="28">SUM(G56:G60)</f>
        <v>0</v>
      </c>
      <c r="H54" s="178">
        <f t="shared" si="28"/>
        <v>920302000</v>
      </c>
      <c r="I54" s="10">
        <f>+G54+H54</f>
        <v>920302000</v>
      </c>
      <c r="J54" s="168">
        <f>+I54/F54</f>
        <v>5.1206847571985001E-2</v>
      </c>
      <c r="K54" s="178">
        <f>SUM(K56:K60)</f>
        <v>0</v>
      </c>
      <c r="L54" s="180"/>
      <c r="M54" s="180">
        <f>+K54+L54</f>
        <v>0</v>
      </c>
      <c r="N54" s="169">
        <f>+M54/F54</f>
        <v>0</v>
      </c>
      <c r="O54" s="10">
        <f>+F54-M54</f>
        <v>17972244800</v>
      </c>
      <c r="P54" s="77"/>
      <c r="Q54" s="6" t="str">
        <f t="shared" si="21"/>
        <v>OKE</v>
      </c>
      <c r="R54" s="6"/>
    </row>
    <row r="55" spans="1:18" ht="12" customHeight="1" x14ac:dyDescent="0.2">
      <c r="A55" s="74"/>
      <c r="B55" s="29"/>
      <c r="C55" s="83"/>
      <c r="D55" s="13"/>
      <c r="E55" s="14"/>
      <c r="F55" s="13"/>
      <c r="G55" s="78"/>
      <c r="H55" s="79"/>
      <c r="I55" s="15"/>
      <c r="J55" s="143"/>
      <c r="K55" s="7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80">
        <f>+jan!I56</f>
        <v>0</v>
      </c>
      <c r="H56" s="79">
        <f>810000000+24500000+12200000+26852000</f>
        <v>873552000</v>
      </c>
      <c r="I56" s="15">
        <f>+G56+H56</f>
        <v>873552000</v>
      </c>
      <c r="J56" s="143">
        <f>+I56/F56</f>
        <v>6.1798793902254699E-2</v>
      </c>
      <c r="K56" s="80">
        <f>+jan!M56</f>
        <v>0</v>
      </c>
      <c r="L56" s="80">
        <f>810000000+24500000+12200000+26852000</f>
        <v>873552000</v>
      </c>
      <c r="M56" s="80">
        <f>+K56+L56</f>
        <v>873552000</v>
      </c>
      <c r="N56" s="171">
        <f>+M56/F56</f>
        <v>6.1798793902254699E-2</v>
      </c>
      <c r="O56" s="15">
        <f>+F56-M56</f>
        <v>13261869500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78"/>
      <c r="H57" s="79"/>
      <c r="I57" s="15"/>
      <c r="J57" s="143"/>
      <c r="K57" s="7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80">
        <f>+jan!I58</f>
        <v>0</v>
      </c>
      <c r="H58" s="79"/>
      <c r="I58" s="15">
        <f>+G58+H58</f>
        <v>0</v>
      </c>
      <c r="J58" s="143">
        <f>+I58/F58</f>
        <v>0</v>
      </c>
      <c r="K58" s="80">
        <f>+jan!M58</f>
        <v>0</v>
      </c>
      <c r="L58" s="80"/>
      <c r="M58" s="80">
        <f>+K58+L58</f>
        <v>0</v>
      </c>
      <c r="N58" s="171">
        <f>+M58/F58</f>
        <v>0</v>
      </c>
      <c r="O58" s="15">
        <f>+F58-M58</f>
        <v>2832643300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+jan!I60</f>
        <v>0</v>
      </c>
      <c r="H60" s="79">
        <v>46750000</v>
      </c>
      <c r="I60" s="15">
        <f>+G60+H60</f>
        <v>46750000</v>
      </c>
      <c r="J60" s="143">
        <f>+I60/F60</f>
        <v>4.6555398434543607E-2</v>
      </c>
      <c r="K60" s="80">
        <f>+jan!M60</f>
        <v>0</v>
      </c>
      <c r="L60" s="80">
        <v>46741000</v>
      </c>
      <c r="M60" s="80">
        <f>+K60+L60</f>
        <v>46741000</v>
      </c>
      <c r="N60" s="171">
        <f>+M60/F60</f>
        <v>4.6546435897946582E-2</v>
      </c>
      <c r="O60" s="15">
        <f>+F60-M60</f>
        <v>957439000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364">
        <f>SUM(G56:G60)</f>
        <v>0</v>
      </c>
      <c r="H62" s="364">
        <f>SUM(H56:H60)</f>
        <v>920302000</v>
      </c>
      <c r="I62" s="364">
        <f>H62+G62</f>
        <v>920302000</v>
      </c>
      <c r="J62" s="368">
        <f>+I62/F62</f>
        <v>5.1206847571985001E-2</v>
      </c>
      <c r="K62" s="364">
        <f>SUM(K56:K60)</f>
        <v>0</v>
      </c>
      <c r="L62" s="364">
        <f>SUM(L56:L60)</f>
        <v>920293000</v>
      </c>
      <c r="M62" s="364">
        <f>K62+L62</f>
        <v>920293000</v>
      </c>
      <c r="N62" s="366">
        <f>+M62/F62</f>
        <v>5.1206346799816574E-2</v>
      </c>
      <c r="O62" s="364">
        <f>+F62-M62</f>
        <v>17051951800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451"/>
      <c r="G63" s="365"/>
      <c r="H63" s="365"/>
      <c r="I63" s="365"/>
      <c r="J63" s="369"/>
      <c r="K63" s="365"/>
      <c r="L63" s="365"/>
      <c r="M63" s="365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5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5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5" customHeight="1" x14ac:dyDescent="0.2">
      <c r="A67" s="74"/>
      <c r="B67" s="217" t="s">
        <v>158</v>
      </c>
      <c r="C67" s="33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239">
        <f t="shared" ref="G67" si="33">+G77</f>
        <v>0</v>
      </c>
      <c r="H67" s="239">
        <f>+H77</f>
        <v>15500250</v>
      </c>
      <c r="I67" s="10">
        <f>+G67+H67</f>
        <v>15500250</v>
      </c>
      <c r="J67" s="168">
        <f>+I67/F67</f>
        <v>2.5679948508391822E-3</v>
      </c>
      <c r="K67" s="180">
        <f>+K77</f>
        <v>0</v>
      </c>
      <c r="L67" s="180">
        <f>+L77</f>
        <v>14449756</v>
      </c>
      <c r="M67" s="180">
        <f>+K67+L67</f>
        <v>14449756</v>
      </c>
      <c r="N67" s="169">
        <f>+M67/F67</f>
        <v>2.3939548719461028E-3</v>
      </c>
      <c r="O67" s="10">
        <f>+F67-M67</f>
        <v>6021485244</v>
      </c>
      <c r="P67" s="77"/>
      <c r="Q67" s="6" t="str">
        <f t="shared" ref="Q67" si="34">IF(M67&lt;=I67,"OKE","Salah")</f>
        <v>OKE</v>
      </c>
      <c r="R67" s="6"/>
    </row>
    <row r="68" spans="1:18" ht="1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5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178">
        <f>+D69+E69</f>
        <v>6035935000</v>
      </c>
      <c r="G69" s="180"/>
      <c r="H69" s="187"/>
      <c r="I69" s="180">
        <f>+G69+H69</f>
        <v>0</v>
      </c>
      <c r="J69" s="168">
        <f>+I69/F69</f>
        <v>0</v>
      </c>
      <c r="K69" s="193"/>
      <c r="L69" s="180"/>
      <c r="M69" s="180">
        <f>+K69+L69</f>
        <v>0</v>
      </c>
      <c r="N69" s="169">
        <f>+M69/F69</f>
        <v>0</v>
      </c>
      <c r="O69" s="10">
        <f>+F69-M69</f>
        <v>6035935000</v>
      </c>
      <c r="P69" s="192"/>
      <c r="Q69" s="6" t="str">
        <f t="shared" ref="Q69:Q71" si="35">IF(M69&lt;=I69,"OKE","Salah")</f>
        <v>OKE</v>
      </c>
      <c r="R69" s="6"/>
    </row>
    <row r="70" spans="1:18" ht="1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5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+jan!I71</f>
        <v>0</v>
      </c>
      <c r="H71" s="79">
        <v>9934000</v>
      </c>
      <c r="I71" s="80">
        <f>+G71+H71</f>
        <v>9934000</v>
      </c>
      <c r="J71" s="143">
        <f>+I71/F71</f>
        <v>2.6582820444206581E-2</v>
      </c>
      <c r="K71" s="80">
        <f>+jan!M71</f>
        <v>0</v>
      </c>
      <c r="L71" s="80">
        <v>9933706</v>
      </c>
      <c r="M71" s="80">
        <f>+K71+L71</f>
        <v>9933706</v>
      </c>
      <c r="N71" s="171">
        <f>+M71/F71</f>
        <v>2.6582033716885202E-2</v>
      </c>
      <c r="O71" s="15">
        <f>+F71-M71</f>
        <v>363766294</v>
      </c>
      <c r="P71" s="77"/>
      <c r="Q71" s="6" t="str">
        <f t="shared" si="35"/>
        <v>OKE</v>
      </c>
      <c r="R71" s="6"/>
    </row>
    <row r="72" spans="1:18" ht="1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5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3">
        <f>+D73+E73</f>
        <v>171360400</v>
      </c>
      <c r="G73" s="80">
        <f>+jan!I73</f>
        <v>0</v>
      </c>
      <c r="H73" s="79">
        <v>4556250</v>
      </c>
      <c r="I73" s="80">
        <f>+G73+H73</f>
        <v>4556250</v>
      </c>
      <c r="J73" s="143">
        <f>+I73/F73</f>
        <v>2.6588698439079274E-2</v>
      </c>
      <c r="K73" s="80">
        <f>+jan!M73</f>
        <v>0</v>
      </c>
      <c r="L73" s="80">
        <v>3513150</v>
      </c>
      <c r="M73" s="80">
        <f>+K73+L73</f>
        <v>3513150</v>
      </c>
      <c r="N73" s="171">
        <f>+M73/F73</f>
        <v>2.0501527774211544E-2</v>
      </c>
      <c r="O73" s="15">
        <f>+F73-M73</f>
        <v>167847250</v>
      </c>
      <c r="P73" s="77"/>
      <c r="Q73" s="6" t="str">
        <f t="shared" ref="Q73" si="36">IF(M73&lt;=I73,"OKE","Salah")</f>
        <v>OKE</v>
      </c>
      <c r="R73" s="6"/>
    </row>
    <row r="74" spans="1:18" ht="1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1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3">
        <f>+D75+E75</f>
        <v>5490874600</v>
      </c>
      <c r="G75" s="80">
        <f>+jan!I75</f>
        <v>0</v>
      </c>
      <c r="H75" s="79">
        <v>1010000</v>
      </c>
      <c r="I75" s="80">
        <f>+G75+H75</f>
        <v>1010000</v>
      </c>
      <c r="J75" s="143">
        <f>+I75/F75</f>
        <v>1.8394155277193911E-4</v>
      </c>
      <c r="K75" s="80">
        <f>+jan!M75</f>
        <v>0</v>
      </c>
      <c r="L75" s="80">
        <v>1002900</v>
      </c>
      <c r="M75" s="80">
        <f>+K75+L75</f>
        <v>1002900</v>
      </c>
      <c r="N75" s="171">
        <f>+M75/F75</f>
        <v>1.8264849829205716E-4</v>
      </c>
      <c r="O75" s="15">
        <f>+F75-M75</f>
        <v>5489871700</v>
      </c>
      <c r="P75" s="77"/>
      <c r="Q75" s="6" t="str">
        <f t="shared" ref="Q75" si="37">IF(M75&lt;=I75,"OKE","Salah")</f>
        <v>OKE</v>
      </c>
      <c r="R75" s="6"/>
    </row>
    <row r="76" spans="1:18" ht="1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364">
        <f>SUM(G71:G75)</f>
        <v>0</v>
      </c>
      <c r="H77" s="364">
        <f>SUM(H71:H75)</f>
        <v>15500250</v>
      </c>
      <c r="I77" s="364">
        <f>+G77+H77</f>
        <v>15500250</v>
      </c>
      <c r="J77" s="368">
        <f>+I77/F77</f>
        <v>2.5679948508391822E-3</v>
      </c>
      <c r="K77" s="364">
        <f>SUM(K71:K75)</f>
        <v>0</v>
      </c>
      <c r="L77" s="364">
        <f>SUM(L71:L75)</f>
        <v>14449756</v>
      </c>
      <c r="M77" s="364">
        <f>+K77+L77</f>
        <v>14449756</v>
      </c>
      <c r="N77" s="366">
        <f>+M77/F77</f>
        <v>2.3939548719461028E-3</v>
      </c>
      <c r="O77" s="364">
        <f>+F77-M77</f>
        <v>6021485244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452"/>
      <c r="G78" s="396"/>
      <c r="H78" s="396"/>
      <c r="I78" s="396"/>
      <c r="J78" s="369"/>
      <c r="K78" s="39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67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0</v>
      </c>
      <c r="H82" s="10">
        <f t="shared" si="40"/>
        <v>54241200</v>
      </c>
      <c r="I82" s="10">
        <f>+G82+H82</f>
        <v>54241200</v>
      </c>
      <c r="J82" s="168">
        <f>+I82/F82</f>
        <v>2.4563695538914493E-2</v>
      </c>
      <c r="K82" s="10">
        <f t="shared" ref="K82:L82" si="41">+K83+K93</f>
        <v>0</v>
      </c>
      <c r="L82" s="10">
        <f t="shared" si="41"/>
        <v>40741950</v>
      </c>
      <c r="M82" s="10">
        <f>+K82+L82</f>
        <v>40741950</v>
      </c>
      <c r="N82" s="169">
        <f>+M82/F82</f>
        <v>1.8450418786119728E-2</v>
      </c>
      <c r="O82" s="10">
        <f>+F82-M82</f>
        <v>2167443700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 t="shared" ref="G83" si="42">+G85+G89</f>
        <v>0</v>
      </c>
      <c r="H83" s="10">
        <f>+H85+H89+H87</f>
        <v>32024300</v>
      </c>
      <c r="I83" s="180">
        <f>+G83+H83</f>
        <v>32024300</v>
      </c>
      <c r="J83" s="168">
        <f>+I83/F83</f>
        <v>1.7044338069128345E-2</v>
      </c>
      <c r="K83" s="10">
        <f>+K85+K89</f>
        <v>0</v>
      </c>
      <c r="L83" s="10">
        <f>+L85+L89</f>
        <v>24792000</v>
      </c>
      <c r="M83" s="180">
        <f>+K83+L83</f>
        <v>24792000</v>
      </c>
      <c r="N83" s="169">
        <f>+M83/F83</f>
        <v>1.3195080904495332E-2</v>
      </c>
      <c r="O83" s="10">
        <f>+F83-M83</f>
        <v>1854090000</v>
      </c>
      <c r="Q83" s="6" t="str">
        <f t="shared" ref="Q83:Q93" si="43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80">
        <f>+jan!I85</f>
        <v>0</v>
      </c>
      <c r="H85" s="285">
        <v>5000000</v>
      </c>
      <c r="I85" s="284">
        <f>G85+H85</f>
        <v>5000000</v>
      </c>
      <c r="J85" s="287">
        <f>+I85/F85</f>
        <v>1.8195587278955455E-2</v>
      </c>
      <c r="K85" s="80">
        <f>+jan!M85</f>
        <v>0</v>
      </c>
      <c r="L85" s="284">
        <v>1800000</v>
      </c>
      <c r="M85" s="284">
        <f>K85+L85</f>
        <v>1800000</v>
      </c>
      <c r="N85" s="288">
        <f>+M85/F85</f>
        <v>6.5504114204239646E-3</v>
      </c>
      <c r="O85" s="286">
        <f>+F85-M85</f>
        <v>272991900</v>
      </c>
      <c r="P85" s="290"/>
      <c r="Q85" s="291" t="str">
        <f t="shared" si="43"/>
        <v>OKE</v>
      </c>
      <c r="R85" s="6"/>
      <c r="S85" s="68"/>
    </row>
    <row r="86" spans="1:19" s="26" customFormat="1" ht="12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+jan!I87</f>
        <v>0</v>
      </c>
      <c r="H87" s="79">
        <v>468400</v>
      </c>
      <c r="I87" s="284">
        <f>G87+H87</f>
        <v>468400</v>
      </c>
      <c r="J87" s="143"/>
      <c r="K87" s="80">
        <f>+jan!M87</f>
        <v>0</v>
      </c>
      <c r="L87" s="80">
        <v>0</v>
      </c>
      <c r="M87" s="80">
        <f>+K87+L87</f>
        <v>0</v>
      </c>
      <c r="N87" s="171"/>
      <c r="O87" s="15"/>
      <c r="Q87" s="6"/>
      <c r="R87" s="6"/>
      <c r="S87" s="240"/>
    </row>
    <row r="88" spans="1:19" s="26" customFormat="1" ht="9.75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2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+jan!I89</f>
        <v>0</v>
      </c>
      <c r="H89" s="79">
        <v>26555900</v>
      </c>
      <c r="I89" s="15">
        <f>+G89+H89</f>
        <v>26555900</v>
      </c>
      <c r="J89" s="143">
        <f>+I89/F89</f>
        <v>2.7841372355434473E-2</v>
      </c>
      <c r="K89" s="80">
        <f>+jan!M89</f>
        <v>0</v>
      </c>
      <c r="L89" s="80">
        <v>22992000</v>
      </c>
      <c r="M89" s="80">
        <f>+K89+L89</f>
        <v>22992000</v>
      </c>
      <c r="N89" s="171">
        <f>+M89/F89</f>
        <v>2.4104957210870255E-2</v>
      </c>
      <c r="O89" s="15">
        <f>+F89-M89</f>
        <v>930836700</v>
      </c>
      <c r="Q89" s="6" t="str">
        <f t="shared" si="43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4">SUM(G85:G90)</f>
        <v>0</v>
      </c>
      <c r="H91" s="141">
        <f t="shared" si="44"/>
        <v>32024300</v>
      </c>
      <c r="I91" s="232">
        <f>+G91+H91</f>
        <v>32024300</v>
      </c>
      <c r="J91" s="176">
        <f>+I91/F91</f>
        <v>1.7044338069128345E-2</v>
      </c>
      <c r="K91" s="141">
        <f t="shared" ref="K91" si="45">SUM(K85:K90)</f>
        <v>0</v>
      </c>
      <c r="L91" s="141">
        <f>SUM(L85:L90)</f>
        <v>24792000</v>
      </c>
      <c r="M91" s="232">
        <f>+K91+L91</f>
        <v>24792000</v>
      </c>
      <c r="N91" s="173">
        <f>+M91/F91</f>
        <v>1.3195080904495332E-2</v>
      </c>
      <c r="O91" s="141"/>
      <c r="Q91" s="6" t="str">
        <f t="shared" si="43"/>
        <v>OKE</v>
      </c>
      <c r="R91" s="6"/>
      <c r="S91" s="68"/>
    </row>
    <row r="92" spans="1:19" s="77" customFormat="1" ht="13.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10">
        <f>+E95</f>
        <v>-36639150</v>
      </c>
      <c r="F93" s="10">
        <f>+D93+E93</f>
        <v>329303650</v>
      </c>
      <c r="G93" s="10">
        <f t="shared" ref="G93:H93" si="46">+G95</f>
        <v>0</v>
      </c>
      <c r="H93" s="10">
        <f t="shared" si="46"/>
        <v>22216900</v>
      </c>
      <c r="I93" s="180">
        <f>+G93+H93</f>
        <v>22216900</v>
      </c>
      <c r="J93" s="168">
        <f>+I93/F93</f>
        <v>6.7466303516526466E-2</v>
      </c>
      <c r="K93" s="10">
        <f t="shared" ref="K93:L93" si="47">+K95</f>
        <v>0</v>
      </c>
      <c r="L93" s="10">
        <f t="shared" si="47"/>
        <v>15949950</v>
      </c>
      <c r="M93" s="180">
        <f>+K93+L93</f>
        <v>15949950</v>
      </c>
      <c r="N93" s="169">
        <f>+M93/F93</f>
        <v>4.8435387825188088E-2</v>
      </c>
      <c r="O93" s="10">
        <f>+F93-M93</f>
        <v>313353700</v>
      </c>
      <c r="Q93" s="6" t="str">
        <f t="shared" si="43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>
        <v>-36639150</v>
      </c>
      <c r="F95" s="13">
        <f>+D95+E95</f>
        <v>329303650</v>
      </c>
      <c r="G95" s="80">
        <f>+jan!I95</f>
        <v>0</v>
      </c>
      <c r="H95" s="79">
        <v>22216900</v>
      </c>
      <c r="I95" s="15">
        <f>+G95+H95</f>
        <v>22216900</v>
      </c>
      <c r="J95" s="143">
        <f>+I95/F95</f>
        <v>6.7466303516526466E-2</v>
      </c>
      <c r="K95" s="80">
        <f>+jan!M95</f>
        <v>0</v>
      </c>
      <c r="L95" s="80">
        <v>15949950</v>
      </c>
      <c r="M95" s="80">
        <f>+K95+L95</f>
        <v>15949950</v>
      </c>
      <c r="N95" s="171">
        <f>+M95/F95</f>
        <v>4.8435387825188088E-2</v>
      </c>
      <c r="O95" s="15">
        <f>+F95-M95</f>
        <v>313353700</v>
      </c>
      <c r="P95" s="26"/>
      <c r="Q95" s="6" t="str">
        <f t="shared" ref="Q95" si="48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10">
        <f>+F98</f>
        <v>2208185650</v>
      </c>
      <c r="G96" s="10">
        <f t="shared" ref="G96:H96" si="49">+G95</f>
        <v>0</v>
      </c>
      <c r="H96" s="10">
        <f t="shared" si="49"/>
        <v>22216900</v>
      </c>
      <c r="I96" s="180">
        <f>+G96+H96</f>
        <v>22216900</v>
      </c>
      <c r="J96" s="168">
        <f>+I96/F96</f>
        <v>1.0061155863412118E-2</v>
      </c>
      <c r="K96" s="10">
        <f t="shared" ref="K96:L96" si="50">+K95</f>
        <v>0</v>
      </c>
      <c r="L96" s="10">
        <f t="shared" si="50"/>
        <v>15949950</v>
      </c>
      <c r="M96" s="180">
        <f>+K96+L96</f>
        <v>15949950</v>
      </c>
      <c r="N96" s="169">
        <f>+M96/F96</f>
        <v>7.2231019162723028E-3</v>
      </c>
      <c r="O96" s="10">
        <f>+F96-M96</f>
        <v>2192235700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69</v>
      </c>
      <c r="D98" s="364">
        <f>+D83+D93</f>
        <v>2244824800</v>
      </c>
      <c r="E98" s="364">
        <f t="shared" ref="E98:I98" si="51">+E83+E93</f>
        <v>-36639150</v>
      </c>
      <c r="F98" s="364">
        <f>+D98+E98</f>
        <v>2208185650</v>
      </c>
      <c r="G98" s="364">
        <f t="shared" si="51"/>
        <v>0</v>
      </c>
      <c r="H98" s="364">
        <f t="shared" si="51"/>
        <v>54241200</v>
      </c>
      <c r="I98" s="364">
        <f t="shared" si="51"/>
        <v>54241200</v>
      </c>
      <c r="J98" s="398">
        <f>+I98/F98</f>
        <v>2.4563695538914493E-2</v>
      </c>
      <c r="K98" s="364">
        <f t="shared" ref="K98:L98" si="52">+K83+K93</f>
        <v>0</v>
      </c>
      <c r="L98" s="364">
        <f t="shared" si="52"/>
        <v>40741950</v>
      </c>
      <c r="M98" s="364">
        <f>+K98+L98</f>
        <v>40741950</v>
      </c>
      <c r="N98" s="366">
        <f>+M98/F98</f>
        <v>1.8450418786119728E-2</v>
      </c>
      <c r="O98" s="364">
        <f>+F98-M98</f>
        <v>2167443700</v>
      </c>
      <c r="P98" s="77"/>
      <c r="Q98" s="6" t="str">
        <f t="shared" ref="Q98:Q101" si="53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452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3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3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4">+E113</f>
        <v>0</v>
      </c>
      <c r="F103" s="10">
        <f>+D103+E103</f>
        <v>2422510300</v>
      </c>
      <c r="G103" s="10">
        <f t="shared" ref="G103:H103" si="55">+G113</f>
        <v>0</v>
      </c>
      <c r="H103" s="10">
        <f t="shared" si="55"/>
        <v>0</v>
      </c>
      <c r="I103" s="10">
        <f>+G103+H103</f>
        <v>0</v>
      </c>
      <c r="J103" s="168">
        <f>+I103/F103</f>
        <v>0</v>
      </c>
      <c r="K103" s="10">
        <f t="shared" ref="K103:L103" si="56">+K113</f>
        <v>0</v>
      </c>
      <c r="L103" s="10">
        <f t="shared" si="56"/>
        <v>0</v>
      </c>
      <c r="M103" s="10">
        <f>+K103+L103</f>
        <v>0</v>
      </c>
      <c r="N103" s="169">
        <f>+M103/D103</f>
        <v>0</v>
      </c>
      <c r="O103" s="10">
        <f>+F103-M103</f>
        <v>2422510300</v>
      </c>
      <c r="P103" s="77"/>
      <c r="Q103" s="6" t="str">
        <f t="shared" ref="Q103:Q105" si="57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+jan!I105</f>
        <v>0</v>
      </c>
      <c r="H105" s="79"/>
      <c r="I105" s="15">
        <f>+G105+H105</f>
        <v>0</v>
      </c>
      <c r="J105" s="143">
        <f>+I105/F105</f>
        <v>0</v>
      </c>
      <c r="K105" s="80">
        <f>+jan!M105</f>
        <v>0</v>
      </c>
      <c r="L105" s="80"/>
      <c r="M105" s="80">
        <f>+K105+L105</f>
        <v>0</v>
      </c>
      <c r="N105" s="171">
        <f>+M105/D105</f>
        <v>0</v>
      </c>
      <c r="O105" s="15">
        <f>+F105-M105</f>
        <v>2422510300</v>
      </c>
      <c r="P105" s="77"/>
      <c r="Q105" s="6" t="str">
        <f t="shared" si="57"/>
        <v>OKE</v>
      </c>
      <c r="R105" s="6"/>
      <c r="T105" s="77"/>
      <c r="U105" s="77"/>
      <c r="V105" s="77"/>
    </row>
    <row r="106" spans="1:23" ht="14.1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+jan!I107</f>
        <v>0</v>
      </c>
      <c r="H107" s="79"/>
      <c r="I107" s="15"/>
      <c r="J107" s="143">
        <f>+I107/F107</f>
        <v>0</v>
      </c>
      <c r="K107" s="80">
        <f>+jan!M107</f>
        <v>0</v>
      </c>
      <c r="L107" s="80"/>
      <c r="M107" s="80"/>
      <c r="N107" s="171">
        <f>+M107/D107</f>
        <v>0</v>
      </c>
      <c r="O107" s="15">
        <f>+F107-M107</f>
        <v>2263739200</v>
      </c>
      <c r="P107" s="77"/>
      <c r="Q107" s="6" t="str">
        <f t="shared" ref="Q107" si="58">IF(M107&lt;=I107,"OKE","Salah")</f>
        <v>OKE</v>
      </c>
      <c r="R107" s="6"/>
      <c r="T107" s="77"/>
      <c r="U107" s="77"/>
      <c r="V107" s="77"/>
    </row>
    <row r="108" spans="1:23" ht="14.1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+jan!I109</f>
        <v>0</v>
      </c>
      <c r="H109" s="79"/>
      <c r="I109" s="15"/>
      <c r="J109" s="143">
        <f>+I109/F109</f>
        <v>0</v>
      </c>
      <c r="K109" s="80">
        <f>+jan!M109</f>
        <v>0</v>
      </c>
      <c r="L109" s="80"/>
      <c r="M109" s="80"/>
      <c r="N109" s="171">
        <f>+M109/D109</f>
        <v>0</v>
      </c>
      <c r="O109" s="15">
        <f>+F109-M109</f>
        <v>81567100</v>
      </c>
      <c r="P109" s="77"/>
      <c r="Q109" s="6" t="str">
        <f t="shared" ref="Q109" si="59">IF(M109&lt;=I109,"OKE","Salah")</f>
        <v>OKE</v>
      </c>
      <c r="R109" s="6"/>
      <c r="T109" s="77"/>
      <c r="U109" s="77"/>
      <c r="V109" s="77"/>
    </row>
    <row r="110" spans="1:23" ht="14.1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4.1" customHeight="1" x14ac:dyDescent="0.2">
      <c r="A111" s="74">
        <v>3</v>
      </c>
      <c r="B111" s="75" t="s">
        <v>257</v>
      </c>
      <c r="C111" s="27" t="s">
        <v>259</v>
      </c>
      <c r="D111" s="13">
        <v>77204000</v>
      </c>
      <c r="E111" s="14"/>
      <c r="F111" s="13">
        <f>+D111+E111</f>
        <v>77204000</v>
      </c>
      <c r="G111" s="80">
        <f>+jan!I111</f>
        <v>0</v>
      </c>
      <c r="H111" s="79"/>
      <c r="I111" s="15"/>
      <c r="J111" s="143">
        <f>+I111/F111</f>
        <v>0</v>
      </c>
      <c r="K111" s="80">
        <f>+jan!M111</f>
        <v>0</v>
      </c>
      <c r="L111" s="80"/>
      <c r="M111" s="80"/>
      <c r="N111" s="171">
        <f>+M111/D111</f>
        <v>0</v>
      </c>
      <c r="O111" s="15">
        <f>+F111-M111</f>
        <v>77204000</v>
      </c>
      <c r="P111" s="77"/>
      <c r="Q111" s="6" t="str">
        <f t="shared" ref="Q111" si="60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0</v>
      </c>
      <c r="H113" s="364">
        <f>SUM(H107:H111)</f>
        <v>0</v>
      </c>
      <c r="I113" s="364">
        <f>+G113+H113</f>
        <v>0</v>
      </c>
      <c r="J113" s="398">
        <f>+I113/F113</f>
        <v>0</v>
      </c>
      <c r="K113" s="364">
        <f>SUM(K107:K111)</f>
        <v>0</v>
      </c>
      <c r="L113" s="364">
        <f>SUM(L107:L111)</f>
        <v>0</v>
      </c>
      <c r="M113" s="364">
        <f>+K113+L113</f>
        <v>0</v>
      </c>
      <c r="N113" s="366">
        <v>0</v>
      </c>
      <c r="O113" s="364">
        <f>+F113-M113</f>
        <v>2422510300</v>
      </c>
      <c r="P113" s="77"/>
      <c r="Q113" s="6" t="str">
        <f t="shared" ref="Q113:Q114" si="61">IF(M113&lt;=I113,"OKE","Salah")</f>
        <v>OKE</v>
      </c>
      <c r="R113" s="6"/>
    </row>
    <row r="114" spans="1:18" ht="17.2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1"/>
        <v>OKE</v>
      </c>
      <c r="R114" s="6"/>
    </row>
    <row r="115" spans="1:18" ht="2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14.1" customHeight="1" x14ac:dyDescent="0.2">
      <c r="A116" s="74"/>
      <c r="B116" s="76"/>
      <c r="C116" s="244" t="s">
        <v>318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2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4.1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3">+E126</f>
        <v>0</v>
      </c>
      <c r="F118" s="10">
        <f>+D118+E118</f>
        <v>1117572900</v>
      </c>
      <c r="G118" s="10">
        <f t="shared" ref="G118:H118" si="64">+G126</f>
        <v>0</v>
      </c>
      <c r="H118" s="10">
        <f t="shared" si="64"/>
        <v>54893500</v>
      </c>
      <c r="I118" s="10">
        <f>+G118+H118</f>
        <v>54893500</v>
      </c>
      <c r="J118" s="168">
        <f>+I118/F118</f>
        <v>4.9118495983572971E-2</v>
      </c>
      <c r="K118" s="10">
        <f t="shared" ref="K118:L118" si="65">+K126</f>
        <v>0</v>
      </c>
      <c r="L118" s="10">
        <f t="shared" si="65"/>
        <v>53070000</v>
      </c>
      <c r="M118" s="10">
        <f>+K118+L118</f>
        <v>53070000</v>
      </c>
      <c r="N118" s="169">
        <f>+M118/D118</f>
        <v>4.748683508699969E-2</v>
      </c>
      <c r="O118" s="10">
        <f>+F118-M118</f>
        <v>1064502900</v>
      </c>
      <c r="P118" s="77"/>
      <c r="Q118" s="6" t="str">
        <f t="shared" ref="Q118:Q150" si="66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+jan!I120</f>
        <v>0</v>
      </c>
      <c r="H120" s="79">
        <f>35700000+5790000</f>
        <v>41490000</v>
      </c>
      <c r="I120" s="80">
        <f t="shared" ref="I120" si="67">H120+G120</f>
        <v>41490000</v>
      </c>
      <c r="J120" s="143">
        <f>+I120/F120</f>
        <v>5.8776580146520707E-2</v>
      </c>
      <c r="K120" s="80">
        <f>+jan!M120</f>
        <v>0</v>
      </c>
      <c r="L120" s="80">
        <f>35700000+4540000</f>
        <v>40240000</v>
      </c>
      <c r="M120" s="80">
        <f t="shared" ref="M120" si="68">K120+L120</f>
        <v>40240000</v>
      </c>
      <c r="N120" s="171">
        <f>+M120/D120</f>
        <v>5.7005774526295329E-2</v>
      </c>
      <c r="O120" s="15">
        <f>+F120-M120</f>
        <v>665653400</v>
      </c>
      <c r="P120" s="77"/>
      <c r="Q120" s="6" t="str">
        <f t="shared" ref="Q120" si="69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+jan!I122</f>
        <v>0</v>
      </c>
      <c r="H122" s="79"/>
      <c r="I122" s="15">
        <f>+G122+H122</f>
        <v>0</v>
      </c>
      <c r="J122" s="143">
        <f>+I122/F122</f>
        <v>0</v>
      </c>
      <c r="K122" s="80">
        <f>+jan!M122</f>
        <v>0</v>
      </c>
      <c r="L122" s="80"/>
      <c r="M122" s="80">
        <f>+K122+L122</f>
        <v>0</v>
      </c>
      <c r="N122" s="171">
        <f>+M122/D122</f>
        <v>0</v>
      </c>
      <c r="O122" s="15">
        <f>+F122-M122</f>
        <v>153587000</v>
      </c>
      <c r="P122" s="77"/>
      <c r="Q122" s="6" t="str">
        <f t="shared" ref="Q122" si="70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+jan!I124</f>
        <v>0</v>
      </c>
      <c r="H124" s="79">
        <v>13403500</v>
      </c>
      <c r="I124" s="15">
        <f>+G124+H124</f>
        <v>13403500</v>
      </c>
      <c r="J124" s="143">
        <f>+I124/F124</f>
        <v>5.1932931022792214E-2</v>
      </c>
      <c r="K124" s="80">
        <f>+jan!M124</f>
        <v>0</v>
      </c>
      <c r="L124" s="80">
        <v>12830000</v>
      </c>
      <c r="M124" s="80">
        <f>+K124+L124</f>
        <v>12830000</v>
      </c>
      <c r="N124" s="171">
        <f>+M124/D124</f>
        <v>4.9710859478675283E-2</v>
      </c>
      <c r="O124" s="15">
        <f>+F124-M124</f>
        <v>245262500</v>
      </c>
      <c r="P124" s="77"/>
      <c r="Q124" s="6" t="str">
        <f t="shared" ref="Q124" si="71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00" t="s">
        <v>319</v>
      </c>
      <c r="D126" s="364">
        <f>SUM(D120:D124)</f>
        <v>1117572900</v>
      </c>
      <c r="E126" s="364">
        <f t="shared" ref="E126" si="72">SUM(E120:E124)</f>
        <v>0</v>
      </c>
      <c r="F126" s="364">
        <f>+D126+E126</f>
        <v>1117572900</v>
      </c>
      <c r="G126" s="364">
        <f>SUM(G120:G124)</f>
        <v>0</v>
      </c>
      <c r="H126" s="364">
        <f>SUM(H120:H124)</f>
        <v>54893500</v>
      </c>
      <c r="I126" s="364">
        <f>+G126+H126</f>
        <v>54893500</v>
      </c>
      <c r="J126" s="368">
        <f>+I126/F126</f>
        <v>4.9118495983572971E-2</v>
      </c>
      <c r="K126" s="364">
        <f>SUM(K120:K124)</f>
        <v>0</v>
      </c>
      <c r="L126" s="364">
        <f>SUM(L120:L124)</f>
        <v>53070000</v>
      </c>
      <c r="M126" s="364">
        <f>+K126+L126</f>
        <v>53070000</v>
      </c>
      <c r="N126" s="366">
        <v>0</v>
      </c>
      <c r="O126" s="364">
        <f>+F126-M126</f>
        <v>1064502900</v>
      </c>
      <c r="P126" s="77"/>
      <c r="Q126" s="6" t="str">
        <f t="shared" si="66"/>
        <v>OKE</v>
      </c>
      <c r="R126" s="6"/>
    </row>
    <row r="127" spans="1:18" ht="14.1" customHeight="1" x14ac:dyDescent="0.2">
      <c r="A127" s="389"/>
      <c r="B127" s="389"/>
      <c r="C127" s="401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6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26.25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10">
        <f>+G133+G140+G148+G154+G169</f>
        <v>663014515</v>
      </c>
      <c r="H131" s="10">
        <f>+H133+H140+H148+H154+H162+H169</f>
        <v>771254303</v>
      </c>
      <c r="I131" s="10">
        <f>+G131+H131</f>
        <v>1434268818</v>
      </c>
      <c r="J131" s="168">
        <f>+I131/F131</f>
        <v>5.517979780964867E-2</v>
      </c>
      <c r="K131" s="10">
        <f>+K133+K140+K148+K154+K162+K169</f>
        <v>663014515</v>
      </c>
      <c r="L131" s="10">
        <f>+L133+L140+L148+L154+L162+L169</f>
        <v>770041603</v>
      </c>
      <c r="M131" s="10">
        <f>+K131+L131</f>
        <v>1433056118</v>
      </c>
      <c r="N131" s="169">
        <f>+M131/F131</f>
        <v>5.5133142301306053E-2</v>
      </c>
      <c r="O131" s="10">
        <f>+F131-M131</f>
        <v>24559587475</v>
      </c>
      <c r="P131" s="77"/>
      <c r="Q131" s="6" t="str">
        <f t="shared" si="66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3">+E135+E137</f>
        <v>0</v>
      </c>
      <c r="F133" s="178">
        <f t="shared" si="73"/>
        <v>26024500</v>
      </c>
      <c r="G133" s="178">
        <f t="shared" si="73"/>
        <v>0</v>
      </c>
      <c r="H133" s="178">
        <f t="shared" si="73"/>
        <v>2940000</v>
      </c>
      <c r="I133" s="10">
        <f>+G133+H133</f>
        <v>2940000</v>
      </c>
      <c r="J133" s="168">
        <f>+I133/F133</f>
        <v>0.11297047013391227</v>
      </c>
      <c r="K133" s="178">
        <f t="shared" ref="K133:L133" si="74">+K135+K137</f>
        <v>0</v>
      </c>
      <c r="L133" s="178">
        <f t="shared" si="74"/>
        <v>2940000</v>
      </c>
      <c r="M133" s="180">
        <f>+K133+L133</f>
        <v>2940000</v>
      </c>
      <c r="N133" s="169">
        <f>+M133/F133</f>
        <v>0.11297047013391227</v>
      </c>
      <c r="O133" s="10">
        <f>+F133-M133</f>
        <v>23084500</v>
      </c>
      <c r="P133" s="77"/>
      <c r="Q133" s="6" t="str">
        <f t="shared" ref="Q133" si="75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13">
        <v>11962500</v>
      </c>
      <c r="E135" s="14"/>
      <c r="F135" s="13">
        <f>E135+D135</f>
        <v>11962500</v>
      </c>
      <c r="G135" s="80">
        <f>+jan!I135</f>
        <v>0</v>
      </c>
      <c r="H135" s="79">
        <v>2940000</v>
      </c>
      <c r="I135" s="15">
        <f>+G135+H135</f>
        <v>2940000</v>
      </c>
      <c r="J135" s="143">
        <f>+I135/F135</f>
        <v>0.24576802507836989</v>
      </c>
      <c r="K135" s="80">
        <f>+jan!M135</f>
        <v>0</v>
      </c>
      <c r="L135" s="80">
        <v>2940000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6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+jan!I137</f>
        <v>0</v>
      </c>
      <c r="H137" s="79">
        <v>0</v>
      </c>
      <c r="I137" s="15">
        <f>+G137+H137</f>
        <v>0</v>
      </c>
      <c r="J137" s="143">
        <f>+I137/F137</f>
        <v>0</v>
      </c>
      <c r="K137" s="80">
        <f>+jan!M137</f>
        <v>0</v>
      </c>
      <c r="L137" s="80">
        <v>0</v>
      </c>
      <c r="M137" s="80">
        <f>+K137+L137</f>
        <v>0</v>
      </c>
      <c r="N137" s="171">
        <f>+M137/F137</f>
        <v>0</v>
      </c>
      <c r="O137" s="15">
        <f>+F137-M137</f>
        <v>14062000</v>
      </c>
      <c r="P137" s="77"/>
      <c r="Q137" s="6" t="str">
        <f t="shared" ref="Q137" si="77">IF(M137&lt;=I137,"OKE","Salah")</f>
        <v>OKE</v>
      </c>
      <c r="R137" s="6"/>
    </row>
    <row r="138" spans="1:23" ht="17.100000000000001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+G132+G136+G138</f>
        <v>0</v>
      </c>
      <c r="H139" s="141">
        <f>+H135+H137</f>
        <v>2940000</v>
      </c>
      <c r="I139" s="141">
        <f>+G139+H139</f>
        <v>2940000</v>
      </c>
      <c r="J139" s="233">
        <f>+I139/F139</f>
        <v>0.11297047013391227</v>
      </c>
      <c r="K139" s="141">
        <f>+K135+K137</f>
        <v>0</v>
      </c>
      <c r="L139" s="141">
        <f>+L135+L137</f>
        <v>2940000</v>
      </c>
      <c r="M139" s="232">
        <f>+K139+L139</f>
        <v>2940000</v>
      </c>
      <c r="N139" s="247">
        <f>+M139/F139</f>
        <v>0.11297047013391227</v>
      </c>
      <c r="O139" s="141"/>
      <c r="P139" s="83"/>
      <c r="Q139" s="6"/>
      <c r="R139" s="6"/>
    </row>
    <row r="140" spans="1:23" ht="17.100000000000001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178">
        <f t="shared" ref="G140:H140" si="78">SUM(G142:G146)</f>
        <v>663014515</v>
      </c>
      <c r="H140" s="178">
        <f t="shared" si="78"/>
        <v>661423320</v>
      </c>
      <c r="I140" s="10">
        <f>+G140+H140</f>
        <v>1324437835</v>
      </c>
      <c r="J140" s="168">
        <f>+I140/F140</f>
        <v>5.548744615836633E-2</v>
      </c>
      <c r="K140" s="178">
        <f t="shared" ref="K140:L140" si="79">SUM(K142:K146)</f>
        <v>663014515</v>
      </c>
      <c r="L140" s="178">
        <f t="shared" si="79"/>
        <v>660210620</v>
      </c>
      <c r="M140" s="180">
        <f>+K140+L140</f>
        <v>1323225135</v>
      </c>
      <c r="N140" s="169">
        <f>+M140/D140</f>
        <v>5.5436639979187484E-2</v>
      </c>
      <c r="O140" s="10">
        <f>+F140-M140</f>
        <v>22545918729</v>
      </c>
      <c r="P140" s="77"/>
      <c r="Q140" s="6" t="str">
        <f t="shared" si="66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7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4">
        <f>E142+D142</f>
        <v>23812113864</v>
      </c>
      <c r="G142" s="80">
        <f>+jan!I142</f>
        <v>663014515</v>
      </c>
      <c r="H142" s="79">
        <f>643853365+16357255</f>
        <v>660210620</v>
      </c>
      <c r="I142" s="15">
        <f>+G142+H142</f>
        <v>1323225135</v>
      </c>
      <c r="J142" s="143">
        <f>+I142/F142</f>
        <v>5.5569410702360988E-2</v>
      </c>
      <c r="K142" s="80">
        <f>+jan!M142</f>
        <v>663014515</v>
      </c>
      <c r="L142" s="80">
        <f>643853365+16357255</f>
        <v>660210620</v>
      </c>
      <c r="M142" s="80">
        <f>+K142+L142</f>
        <v>1323225135</v>
      </c>
      <c r="N142" s="171">
        <f>+M142/D142</f>
        <v>5.5569410702360988E-2</v>
      </c>
      <c r="O142" s="15">
        <f>+F142-M142</f>
        <v>22488888729</v>
      </c>
      <c r="P142" s="77"/>
      <c r="Q142" s="6" t="str">
        <f t="shared" ref="Q142" si="80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7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4">
        <f>E144+D144</f>
        <v>44450000</v>
      </c>
      <c r="G144" s="80">
        <f>+jan!I144</f>
        <v>0</v>
      </c>
      <c r="H144" s="79">
        <v>500000</v>
      </c>
      <c r="I144" s="15">
        <f>+G144+H144</f>
        <v>500000</v>
      </c>
      <c r="J144" s="143">
        <f>+I144/F144</f>
        <v>1.1248593925759279E-2</v>
      </c>
      <c r="K144" s="80">
        <f>+jan!M144</f>
        <v>0</v>
      </c>
      <c r="L144" s="80"/>
      <c r="M144" s="80">
        <f>+K144+L144</f>
        <v>0</v>
      </c>
      <c r="N144" s="171">
        <f>+M144/D144</f>
        <v>0</v>
      </c>
      <c r="O144" s="15">
        <f>+F144-M144</f>
        <v>44450000</v>
      </c>
      <c r="P144" s="83"/>
      <c r="Q144" s="6" t="str">
        <f t="shared" si="66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7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+jan!I146</f>
        <v>0</v>
      </c>
      <c r="H146" s="79">
        <v>712700</v>
      </c>
      <c r="I146" s="15">
        <f>+G146+H146</f>
        <v>712700</v>
      </c>
      <c r="J146" s="143">
        <f>+I146/F146</f>
        <v>5.6653418124006358E-2</v>
      </c>
      <c r="K146" s="80">
        <f>+jan!M146</f>
        <v>0</v>
      </c>
      <c r="L146" s="80"/>
      <c r="M146" s="80">
        <f>+K146+L146</f>
        <v>0</v>
      </c>
      <c r="N146" s="171">
        <f>+M146/D146</f>
        <v>0</v>
      </c>
      <c r="O146" s="15">
        <f>+F146-M146</f>
        <v>12580000</v>
      </c>
      <c r="P146" s="83"/>
      <c r="Q146" s="6" t="str">
        <f t="shared" ref="Q146" si="81">IF(M146&lt;=I146,"OKE","Salah")</f>
        <v>OKE</v>
      </c>
      <c r="R146" s="6"/>
    </row>
    <row r="147" spans="1:19" ht="17.100000000000001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2">SUM(E142:E146)</f>
        <v>0</v>
      </c>
      <c r="F147" s="141">
        <f t="shared" si="82"/>
        <v>23869143864</v>
      </c>
      <c r="G147" s="141">
        <f>SUM(G142:G146)</f>
        <v>663014515</v>
      </c>
      <c r="H147" s="141">
        <f>SUM(H142:H146)</f>
        <v>661423320</v>
      </c>
      <c r="I147" s="141">
        <f>+G147+H147</f>
        <v>1324437835</v>
      </c>
      <c r="J147" s="247"/>
      <c r="K147" s="141">
        <f>SUM(K142:K146)</f>
        <v>663014515</v>
      </c>
      <c r="L147" s="141">
        <f>SUM(L142:L146)</f>
        <v>660210620</v>
      </c>
      <c r="M147" s="232">
        <f>+K147+L147</f>
        <v>1323225135</v>
      </c>
      <c r="N147" s="173">
        <f>+M147/D147</f>
        <v>5.5436639979187484E-2</v>
      </c>
      <c r="O147" s="141">
        <f>+F147-M147</f>
        <v>22545918729</v>
      </c>
      <c r="P147" s="83"/>
      <c r="Q147" s="6"/>
      <c r="R147" s="6"/>
    </row>
    <row r="148" spans="1:19" ht="17.100000000000001" customHeight="1" x14ac:dyDescent="0.2">
      <c r="A148" s="74"/>
      <c r="B148" s="214" t="s">
        <v>199</v>
      </c>
      <c r="C148" s="208" t="s">
        <v>198</v>
      </c>
      <c r="D148" s="178">
        <f>+D150</f>
        <v>144000000</v>
      </c>
      <c r="E148" s="14"/>
      <c r="F148" s="13">
        <f>E148+D148</f>
        <v>144000000</v>
      </c>
      <c r="G148" s="178">
        <f>+G150</f>
        <v>0</v>
      </c>
      <c r="H148" s="178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3">IF(M148&lt;=I148,"OKE","Salah")</f>
        <v>OKE</v>
      </c>
      <c r="R148" s="6"/>
    </row>
    <row r="149" spans="1:19" ht="17.100000000000001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13">
        <v>144000000</v>
      </c>
      <c r="E150" s="14"/>
      <c r="F150" s="13">
        <f>E150+D150</f>
        <v>144000000</v>
      </c>
      <c r="G150" s="80">
        <f>+jan!I150</f>
        <v>0</v>
      </c>
      <c r="H150" s="79">
        <v>0</v>
      </c>
      <c r="I150" s="15">
        <f>+G150+H150</f>
        <v>0</v>
      </c>
      <c r="J150" s="143">
        <f>+I150/F150</f>
        <v>0</v>
      </c>
      <c r="K150" s="80">
        <f>+jan!M150</f>
        <v>0</v>
      </c>
      <c r="L150" s="80"/>
      <c r="M150" s="80">
        <f>+K150+L150</f>
        <v>0</v>
      </c>
      <c r="N150" s="171">
        <f>+M150/D150</f>
        <v>0</v>
      </c>
      <c r="O150" s="15">
        <f t="shared" ref="O150" si="84">+D150-M150</f>
        <v>144000000</v>
      </c>
      <c r="P150" s="83"/>
      <c r="Q150" s="6" t="str">
        <f t="shared" si="66"/>
        <v>OKE</v>
      </c>
      <c r="R150" s="6"/>
    </row>
    <row r="151" spans="1:19" ht="13.5" customHeight="1" x14ac:dyDescent="0.2">
      <c r="A151" s="74"/>
      <c r="B151" s="29"/>
      <c r="C151" s="27"/>
      <c r="D151" s="13"/>
      <c r="E151" s="14"/>
      <c r="F151" s="13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224">
        <f>+D150</f>
        <v>144000000</v>
      </c>
      <c r="E152" s="225"/>
      <c r="F152" s="224">
        <f>+F150</f>
        <v>144000000</v>
      </c>
      <c r="G152" s="224">
        <f>+G150</f>
        <v>0</v>
      </c>
      <c r="H152" s="224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178"/>
      <c r="E153" s="221"/>
      <c r="F153" s="178"/>
      <c r="G153" s="178"/>
      <c r="H153" s="178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178">
        <f>+D156+D158</f>
        <v>155412000</v>
      </c>
      <c r="E154" s="221"/>
      <c r="F154" s="178">
        <f>D154</f>
        <v>155412000</v>
      </c>
      <c r="G154" s="178">
        <f t="shared" ref="G154:H154" si="85">+G156+G158</f>
        <v>0</v>
      </c>
      <c r="H154" s="178">
        <f t="shared" si="85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6">IF(M154&lt;=I154,"OKE","Salah")</f>
        <v>OKE</v>
      </c>
      <c r="R154" s="6"/>
    </row>
    <row r="155" spans="1:19" ht="16.5" customHeight="1" x14ac:dyDescent="0.2">
      <c r="A155" s="74"/>
      <c r="B155" s="29"/>
      <c r="C155" s="27"/>
      <c r="D155" s="13"/>
      <c r="E155" s="14"/>
      <c r="F155" s="13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9.25" customHeight="1" x14ac:dyDescent="0.2">
      <c r="A156" s="205">
        <v>7</v>
      </c>
      <c r="B156" s="220" t="s">
        <v>204</v>
      </c>
      <c r="C156" s="274" t="s">
        <v>205</v>
      </c>
      <c r="D156" s="13">
        <v>0</v>
      </c>
      <c r="E156" s="14"/>
      <c r="F156" s="13">
        <f>D156</f>
        <v>0</v>
      </c>
      <c r="G156" s="80">
        <f>+jan!I156</f>
        <v>0</v>
      </c>
      <c r="H156" s="79"/>
      <c r="I156" s="15">
        <f>+G156+H156</f>
        <v>0</v>
      </c>
      <c r="J156" s="143">
        <v>0</v>
      </c>
      <c r="K156" s="80">
        <f>+jan!M156</f>
        <v>0</v>
      </c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6" si="87">IF(M156&lt;=I156,"OKE","Salah")</f>
        <v>OKE</v>
      </c>
      <c r="R156" s="6"/>
    </row>
    <row r="157" spans="1:19" ht="15.75" customHeight="1" x14ac:dyDescent="0.2">
      <c r="A157" s="74"/>
      <c r="B157" s="95"/>
      <c r="C157" s="27"/>
      <c r="D157" s="13"/>
      <c r="E157" s="14"/>
      <c r="F157" s="13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32.25" customHeight="1" x14ac:dyDescent="0.2">
      <c r="A158" s="74">
        <v>8</v>
      </c>
      <c r="B158" s="95" t="s">
        <v>206</v>
      </c>
      <c r="C158" s="219" t="s">
        <v>207</v>
      </c>
      <c r="D158" s="13">
        <v>155412000</v>
      </c>
      <c r="E158" s="14"/>
      <c r="F158" s="13">
        <f>D158</f>
        <v>155412000</v>
      </c>
      <c r="G158" s="80">
        <f>+jan!I158</f>
        <v>0</v>
      </c>
      <c r="H158" s="79"/>
      <c r="I158" s="15">
        <f>+G158+H158</f>
        <v>0</v>
      </c>
      <c r="J158" s="143">
        <f>+I158/F158</f>
        <v>0</v>
      </c>
      <c r="K158" s="80">
        <f>+jan!M158</f>
        <v>0</v>
      </c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88">IF(M158&lt;=I158,"OKE","Salah")</f>
        <v>OKE</v>
      </c>
      <c r="R158" s="6"/>
    </row>
    <row r="159" spans="1:19" ht="15" customHeight="1" x14ac:dyDescent="0.2">
      <c r="A159" s="74"/>
      <c r="B159" s="95"/>
      <c r="C159" s="27"/>
      <c r="D159" s="13"/>
      <c r="E159" s="14"/>
      <c r="F159" s="13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17.100000000000001" customHeight="1" x14ac:dyDescent="0.2">
      <c r="A160" s="226"/>
      <c r="B160" s="227"/>
      <c r="C160" s="223" t="s">
        <v>171</v>
      </c>
      <c r="D160" s="224">
        <f>+D156+D158</f>
        <v>155412000</v>
      </c>
      <c r="E160" s="224">
        <f t="shared" ref="E160:H160" si="89">+E156+E158</f>
        <v>0</v>
      </c>
      <c r="F160" s="224">
        <f t="shared" si="89"/>
        <v>155412000</v>
      </c>
      <c r="G160" s="224">
        <f t="shared" si="89"/>
        <v>0</v>
      </c>
      <c r="H160" s="224">
        <f t="shared" si="89"/>
        <v>0</v>
      </c>
      <c r="I160" s="141">
        <f>+G160+H160</f>
        <v>0</v>
      </c>
      <c r="J160" s="176">
        <f>+I160/F160</f>
        <v>0</v>
      </c>
      <c r="K160" s="224">
        <f t="shared" ref="K160:L160" si="90">+K156+K158</f>
        <v>0</v>
      </c>
      <c r="L160" s="224">
        <f t="shared" si="90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178"/>
      <c r="E161" s="221"/>
      <c r="F161" s="178"/>
      <c r="G161" s="178"/>
      <c r="H161" s="178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14.1" customHeight="1" x14ac:dyDescent="0.2">
      <c r="A162" s="212"/>
      <c r="B162" s="218"/>
      <c r="C162" s="25" t="s">
        <v>313</v>
      </c>
      <c r="D162" s="178">
        <f>+D164</f>
        <v>1621482000</v>
      </c>
      <c r="E162" s="221"/>
      <c r="F162" s="178">
        <f>+D162+E162</f>
        <v>1621482000</v>
      </c>
      <c r="G162" s="178">
        <f t="shared" ref="G162:H162" si="91">+G164</f>
        <v>0</v>
      </c>
      <c r="H162" s="178">
        <f t="shared" si="91"/>
        <v>106890983</v>
      </c>
      <c r="I162" s="10">
        <f>+G162+H162</f>
        <v>106890983</v>
      </c>
      <c r="J162" s="168">
        <f>+I162/F162</f>
        <v>6.5921782048767738E-2</v>
      </c>
      <c r="K162" s="178">
        <f t="shared" ref="K162:L162" si="92">+K164</f>
        <v>0</v>
      </c>
      <c r="L162" s="178">
        <f t="shared" si="92"/>
        <v>106890983</v>
      </c>
      <c r="M162" s="180">
        <f>+K162+L162</f>
        <v>106890983</v>
      </c>
      <c r="N162" s="169">
        <f>+M162/D162</f>
        <v>6.5921782048767738E-2</v>
      </c>
      <c r="O162" s="10">
        <f>+F162-M162</f>
        <v>1514591017</v>
      </c>
      <c r="P162" s="208"/>
      <c r="Q162" s="6"/>
      <c r="R162" s="6"/>
    </row>
    <row r="163" spans="1:18" ht="14.1" customHeight="1" x14ac:dyDescent="0.2">
      <c r="A163" s="212"/>
      <c r="B163" s="218"/>
      <c r="C163" s="25"/>
      <c r="D163" s="178"/>
      <c r="E163" s="221"/>
      <c r="F163" s="178"/>
      <c r="G163" s="178"/>
      <c r="H163" s="178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4.1" customHeight="1" x14ac:dyDescent="0.2">
      <c r="A164" s="212"/>
      <c r="B164" s="218"/>
      <c r="C164" s="219" t="s">
        <v>314</v>
      </c>
      <c r="D164" s="13">
        <v>1621482000</v>
      </c>
      <c r="E164" s="14"/>
      <c r="F164" s="13">
        <f>D164</f>
        <v>1621482000</v>
      </c>
      <c r="G164" s="80">
        <f>+jan!I164</f>
        <v>0</v>
      </c>
      <c r="H164" s="79">
        <f>4606008+1552911+59772064+40960000</f>
        <v>106890983</v>
      </c>
      <c r="I164" s="15">
        <f>+G164+H164</f>
        <v>106890983</v>
      </c>
      <c r="J164" s="143">
        <f>+I164/F164</f>
        <v>6.5921782048767738E-2</v>
      </c>
      <c r="K164" s="80">
        <f>+jan!M164</f>
        <v>0</v>
      </c>
      <c r="L164" s="80">
        <f>4606008+1552911+59772064+40960000</f>
        <v>106890983</v>
      </c>
      <c r="M164" s="80">
        <f>+K164+L164</f>
        <v>106890983</v>
      </c>
      <c r="N164" s="171">
        <f>+M164/D164</f>
        <v>6.5921782048767738E-2</v>
      </c>
      <c r="O164" s="15">
        <f>+F164-M164</f>
        <v>1514591017</v>
      </c>
      <c r="P164" s="83"/>
      <c r="Q164" s="6" t="str">
        <f t="shared" ref="Q164:Q166" si="93">IF(M164&lt;=I164,"OKE","Salah")</f>
        <v>OKE</v>
      </c>
      <c r="R164" s="6"/>
    </row>
    <row r="165" spans="1:18" ht="14.1" customHeight="1" x14ac:dyDescent="0.2">
      <c r="A165" s="212"/>
      <c r="B165" s="218"/>
      <c r="C165" s="25"/>
      <c r="D165" s="178"/>
      <c r="E165" s="221"/>
      <c r="F165" s="178"/>
      <c r="G165" s="178"/>
      <c r="H165" s="178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14.1" customHeight="1" x14ac:dyDescent="0.2">
      <c r="A166" s="226"/>
      <c r="B166" s="227"/>
      <c r="C166" s="223" t="s">
        <v>171</v>
      </c>
      <c r="D166" s="224">
        <f>+D164</f>
        <v>1621482000</v>
      </c>
      <c r="E166" s="224">
        <f t="shared" ref="E166:F166" si="94">+E164</f>
        <v>0</v>
      </c>
      <c r="F166" s="224">
        <f t="shared" si="94"/>
        <v>1621482000</v>
      </c>
      <c r="G166" s="224">
        <f t="shared" ref="G166" si="95">+G162+G164</f>
        <v>0</v>
      </c>
      <c r="H166" s="224">
        <f>+H164</f>
        <v>106890983</v>
      </c>
      <c r="I166" s="141">
        <f>+G166+H166</f>
        <v>106890983</v>
      </c>
      <c r="J166" s="176">
        <f>+I166/F166</f>
        <v>6.5921782048767738E-2</v>
      </c>
      <c r="K166" s="224">
        <f t="shared" ref="K166:L166" si="96">+K164</f>
        <v>0</v>
      </c>
      <c r="L166" s="224">
        <f t="shared" si="96"/>
        <v>106890983</v>
      </c>
      <c r="M166" s="232">
        <f>+K166+L166</f>
        <v>106890983</v>
      </c>
      <c r="N166" s="173">
        <f>+M166/D166</f>
        <v>6.5921782048767738E-2</v>
      </c>
      <c r="O166" s="141">
        <f>+F166-M166</f>
        <v>1514591017</v>
      </c>
      <c r="P166" s="208"/>
      <c r="Q166" s="6" t="str">
        <f t="shared" si="93"/>
        <v>OKE</v>
      </c>
      <c r="R166" s="6"/>
    </row>
    <row r="167" spans="1:18" ht="14.1" customHeight="1" x14ac:dyDescent="0.2">
      <c r="A167" s="212"/>
      <c r="B167" s="218"/>
      <c r="C167" s="25"/>
      <c r="D167" s="178"/>
      <c r="E167" s="221"/>
      <c r="F167" s="317"/>
      <c r="G167" s="178"/>
      <c r="H167" s="178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14.1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14.1" customHeight="1" x14ac:dyDescent="0.2">
      <c r="A169" s="74"/>
      <c r="B169" s="214" t="s">
        <v>304</v>
      </c>
      <c r="C169" s="208" t="s">
        <v>277</v>
      </c>
      <c r="D169" s="178">
        <f>+D171</f>
        <v>176581229</v>
      </c>
      <c r="E169" s="14"/>
      <c r="F169" s="13">
        <f>E169+D169</f>
        <v>176581229</v>
      </c>
      <c r="G169" s="178">
        <f>+G171+G174</f>
        <v>0</v>
      </c>
      <c r="H169" s="178">
        <f>+H171+H174</f>
        <v>0</v>
      </c>
      <c r="I169" s="10">
        <f>+G169+H169</f>
        <v>0</v>
      </c>
      <c r="J169" s="168">
        <f>+I169/F169</f>
        <v>0</v>
      </c>
      <c r="K169" s="178">
        <f>+K171+K174</f>
        <v>0</v>
      </c>
      <c r="L169" s="178">
        <f>+L171+L174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97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13">
        <v>176581229</v>
      </c>
      <c r="E171" s="14"/>
      <c r="F171" s="13">
        <f>E171+D171</f>
        <v>176581229</v>
      </c>
      <c r="G171" s="80">
        <f>+jan!I171</f>
        <v>0</v>
      </c>
      <c r="H171" s="79">
        <v>0</v>
      </c>
      <c r="I171" s="15">
        <f>+G171+H171</f>
        <v>0</v>
      </c>
      <c r="J171" s="143">
        <f>+I171/F171</f>
        <v>0</v>
      </c>
      <c r="K171" s="80">
        <f>+jan!M171</f>
        <v>0</v>
      </c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98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13"/>
      <c r="E172" s="14"/>
      <c r="F172" s="13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8.75" customHeight="1" x14ac:dyDescent="0.2">
      <c r="A173" s="139"/>
      <c r="B173" s="222"/>
      <c r="C173" s="223" t="s">
        <v>171</v>
      </c>
      <c r="D173" s="224">
        <f>+D171</f>
        <v>176581229</v>
      </c>
      <c r="E173" s="224">
        <f>+E171</f>
        <v>0</v>
      </c>
      <c r="F173" s="224">
        <f>+F171</f>
        <v>176581229</v>
      </c>
      <c r="G173" s="224">
        <f>+G171</f>
        <v>0</v>
      </c>
      <c r="H173" s="224">
        <f>+H171</f>
        <v>0</v>
      </c>
      <c r="I173" s="141">
        <f>+G173+H173</f>
        <v>0</v>
      </c>
      <c r="J173" s="176">
        <f>+I173/F173</f>
        <v>0</v>
      </c>
      <c r="K173" s="224">
        <f>+K171</f>
        <v>0</v>
      </c>
      <c r="L173" s="224">
        <f>+L171</f>
        <v>0</v>
      </c>
      <c r="M173" s="232">
        <f>+K173+L173</f>
        <v>0</v>
      </c>
      <c r="N173" s="173">
        <f>+M173/D173</f>
        <v>0</v>
      </c>
      <c r="O173" s="141">
        <f>+F173-M173</f>
        <v>176581229</v>
      </c>
      <c r="P173" s="208"/>
      <c r="Q173" s="6" t="str">
        <f t="shared" ref="Q173" si="99">IF(M173&lt;=I173,"OKE","Salah")</f>
        <v>OKE</v>
      </c>
      <c r="R173" s="6"/>
    </row>
    <row r="174" spans="1:18" ht="14.1" customHeight="1" x14ac:dyDescent="0.2">
      <c r="A174" s="81"/>
      <c r="B174" s="81"/>
      <c r="C174" s="251"/>
      <c r="D174" s="32"/>
      <c r="E174" s="32"/>
      <c r="F174" s="142"/>
      <c r="G174" s="252"/>
      <c r="H174" s="253"/>
      <c r="I174" s="252"/>
      <c r="J174" s="254"/>
      <c r="K174" s="252"/>
      <c r="L174" s="251"/>
      <c r="M174" s="251"/>
      <c r="N174" s="86"/>
      <c r="O174" s="76"/>
      <c r="P174" s="83"/>
      <c r="Q174" s="6"/>
      <c r="R174" s="6"/>
    </row>
    <row r="175" spans="1:18" ht="14.1" customHeight="1" x14ac:dyDescent="0.2">
      <c r="A175" s="388"/>
      <c r="B175" s="388"/>
      <c r="C175" s="395" t="s">
        <v>137</v>
      </c>
      <c r="D175" s="364">
        <f>+D139+D147+D152+D160+D166+D173</f>
        <v>25992643593</v>
      </c>
      <c r="E175" s="364">
        <v>0</v>
      </c>
      <c r="F175" s="364">
        <f>+D175+E175</f>
        <v>25992643593</v>
      </c>
      <c r="G175" s="364">
        <f>+G139+G147+G152+G160+G166+G173</f>
        <v>663014515</v>
      </c>
      <c r="H175" s="364">
        <f>+H139+H147+H152+H160+H166+H173</f>
        <v>771254303</v>
      </c>
      <c r="I175" s="364">
        <f>+I139+I147+I152+I160+I166+I173</f>
        <v>1434268818</v>
      </c>
      <c r="J175" s="398">
        <f>+I175/F175</f>
        <v>5.517979780964867E-2</v>
      </c>
      <c r="K175" s="364">
        <f>+K139+K147+K152+K160+K173</f>
        <v>663014515</v>
      </c>
      <c r="L175" s="364">
        <f>+L139+L147+L152+L160+L166+L173</f>
        <v>770041603</v>
      </c>
      <c r="M175" s="364">
        <f>+K175+L175</f>
        <v>1433056118</v>
      </c>
      <c r="N175" s="405">
        <f>+M175/F175</f>
        <v>5.5133142301306053E-2</v>
      </c>
      <c r="O175" s="402">
        <f>+F175-M175</f>
        <v>24559587475</v>
      </c>
      <c r="P175" s="83"/>
      <c r="Q175" s="6" t="str">
        <f t="shared" si="87"/>
        <v>OKE</v>
      </c>
      <c r="R175" s="6"/>
    </row>
    <row r="176" spans="1:18" ht="14.1" customHeight="1" x14ac:dyDescent="0.2">
      <c r="A176" s="389"/>
      <c r="B176" s="389"/>
      <c r="C176" s="396"/>
      <c r="D176" s="396"/>
      <c r="E176" s="396"/>
      <c r="F176" s="452"/>
      <c r="G176" s="396"/>
      <c r="H176" s="396"/>
      <c r="I176" s="396"/>
      <c r="J176" s="404"/>
      <c r="K176" s="396"/>
      <c r="L176" s="396"/>
      <c r="M176" s="365"/>
      <c r="N176" s="406"/>
      <c r="O176" s="403"/>
      <c r="P176" s="83"/>
      <c r="Q176" s="6" t="str">
        <f t="shared" si="87"/>
        <v>OKE</v>
      </c>
      <c r="R176" s="6"/>
    </row>
    <row r="177" spans="1:18" ht="15" customHeight="1" x14ac:dyDescent="0.2">
      <c r="A177" s="74"/>
      <c r="B177" s="74"/>
      <c r="C177" s="76"/>
      <c r="D177" s="15"/>
      <c r="E177" s="15"/>
      <c r="F177" s="15"/>
      <c r="G177" s="80"/>
      <c r="H177" s="79"/>
      <c r="I177" s="80"/>
      <c r="J177" s="86"/>
      <c r="K177" s="80"/>
      <c r="L177" s="76"/>
      <c r="M177" s="76"/>
      <c r="N177" s="86"/>
      <c r="O177" s="10"/>
      <c r="P177" s="83"/>
      <c r="Q177" s="6"/>
      <c r="R177" s="6"/>
    </row>
    <row r="178" spans="1:18" ht="15" customHeight="1" x14ac:dyDescent="0.2">
      <c r="A178" s="74"/>
      <c r="B178" s="74"/>
      <c r="C178" s="244" t="s">
        <v>70</v>
      </c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14.1" customHeight="1" x14ac:dyDescent="0.2">
      <c r="A179" s="74"/>
      <c r="B179" s="74"/>
      <c r="C179" s="76"/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77"/>
      <c r="Q179" s="6"/>
      <c r="R179" s="6"/>
    </row>
    <row r="180" spans="1:18" ht="24.75" customHeight="1" x14ac:dyDescent="0.2">
      <c r="A180" s="7"/>
      <c r="B180" s="206" t="s">
        <v>154</v>
      </c>
      <c r="C180" s="201" t="s">
        <v>153</v>
      </c>
      <c r="D180" s="10">
        <f>+D182</f>
        <v>1189109400</v>
      </c>
      <c r="E180" s="10">
        <f t="shared" ref="E180:H180" si="100">+E182</f>
        <v>0</v>
      </c>
      <c r="F180" s="10">
        <f t="shared" si="100"/>
        <v>1189109400</v>
      </c>
      <c r="G180" s="10">
        <f t="shared" si="100"/>
        <v>0</v>
      </c>
      <c r="H180" s="10">
        <f t="shared" si="100"/>
        <v>45751500</v>
      </c>
      <c r="I180" s="10">
        <f>+G180+H180</f>
        <v>45751500</v>
      </c>
      <c r="J180" s="168">
        <f>+I180/F180</f>
        <v>3.847543379944688E-2</v>
      </c>
      <c r="K180" s="10">
        <f t="shared" ref="K180:L180" si="101">+K182</f>
        <v>0</v>
      </c>
      <c r="L180" s="10">
        <f t="shared" si="101"/>
        <v>45445500</v>
      </c>
      <c r="M180" s="10">
        <f>+K180+L180</f>
        <v>45445500</v>
      </c>
      <c r="N180" s="169">
        <f>+M180/F180</f>
        <v>3.8218098351589853E-2</v>
      </c>
      <c r="O180" s="10">
        <f>+F180-M180</f>
        <v>1143663900</v>
      </c>
      <c r="P180" s="77"/>
      <c r="Q180" s="6" t="str">
        <f t="shared" ref="Q180" si="102">IF(M180&lt;=I180,"OKE","Salah")</f>
        <v>OKE</v>
      </c>
      <c r="R180" s="6"/>
    </row>
    <row r="181" spans="1:18" ht="14.1" customHeight="1" x14ac:dyDescent="0.2">
      <c r="A181" s="74"/>
      <c r="B181" s="74"/>
      <c r="C181" s="76"/>
      <c r="D181" s="15"/>
      <c r="E181" s="15"/>
      <c r="F181" s="15"/>
      <c r="G181" s="80"/>
      <c r="H181" s="79"/>
      <c r="I181" s="80"/>
      <c r="J181" s="86"/>
      <c r="K181" s="80"/>
      <c r="L181" s="76"/>
      <c r="M181" s="76"/>
      <c r="N181" s="86"/>
      <c r="O181" s="10"/>
      <c r="P181" s="77"/>
      <c r="Q181" s="6"/>
      <c r="R181" s="6"/>
    </row>
    <row r="182" spans="1:18" ht="18" customHeight="1" x14ac:dyDescent="0.2">
      <c r="A182" s="74"/>
      <c r="B182" s="95" t="s">
        <v>212</v>
      </c>
      <c r="C182" s="25" t="s">
        <v>213</v>
      </c>
      <c r="D182" s="178">
        <f>SUM(D184:D190)</f>
        <v>1189109400</v>
      </c>
      <c r="E182" s="14"/>
      <c r="F182" s="178">
        <f>E182+D182</f>
        <v>1189109400</v>
      </c>
      <c r="G182" s="178">
        <f>SUM(G184:G190)</f>
        <v>0</v>
      </c>
      <c r="H182" s="178">
        <f>SUM(H184:H190)</f>
        <v>45751500</v>
      </c>
      <c r="I182" s="10">
        <f>H182+G182</f>
        <v>45751500</v>
      </c>
      <c r="J182" s="168">
        <f>+I182/F182</f>
        <v>3.847543379944688E-2</v>
      </c>
      <c r="K182" s="178">
        <f>SUM(K184:K190)</f>
        <v>0</v>
      </c>
      <c r="L182" s="178">
        <f>SUM(L184:L190)</f>
        <v>45445500</v>
      </c>
      <c r="M182" s="180">
        <f>+K182+L182</f>
        <v>45445500</v>
      </c>
      <c r="N182" s="169">
        <f>+M182/F182</f>
        <v>3.8218098351589853E-2</v>
      </c>
      <c r="O182" s="10">
        <f>+F182-M182</f>
        <v>1143663900</v>
      </c>
      <c r="P182" s="77"/>
      <c r="Q182" s="6" t="str">
        <f t="shared" ref="Q182" si="103">IF(M182&lt;=I182,"OKE","Salah")</f>
        <v>OKE</v>
      </c>
      <c r="R182" s="6"/>
    </row>
    <row r="183" spans="1:18" ht="15.75" customHeight="1" x14ac:dyDescent="0.2">
      <c r="A183" s="74"/>
      <c r="B183" s="95"/>
      <c r="C183" s="27"/>
      <c r="D183" s="13"/>
      <c r="E183" s="14"/>
      <c r="F183" s="13"/>
      <c r="G183" s="78"/>
      <c r="H183" s="79"/>
      <c r="I183" s="15"/>
      <c r="J183" s="143"/>
      <c r="K183" s="80"/>
      <c r="L183" s="80"/>
      <c r="M183" s="80"/>
      <c r="N183" s="171"/>
      <c r="O183" s="15"/>
      <c r="P183" s="77"/>
      <c r="Q183" s="6"/>
      <c r="R183" s="6"/>
    </row>
    <row r="184" spans="1:18" ht="14.1" customHeight="1" x14ac:dyDescent="0.2">
      <c r="A184" s="74">
        <v>1</v>
      </c>
      <c r="B184" s="95" t="s">
        <v>215</v>
      </c>
      <c r="C184" s="27" t="s">
        <v>214</v>
      </c>
      <c r="D184" s="13">
        <v>206216100</v>
      </c>
      <c r="E184" s="14"/>
      <c r="F184" s="13">
        <f>E184+D184</f>
        <v>206216100</v>
      </c>
      <c r="G184" s="80">
        <f>+jan!I185</f>
        <v>0</v>
      </c>
      <c r="H184" s="79">
        <v>12855500</v>
      </c>
      <c r="I184" s="15">
        <f>H184+G184</f>
        <v>12855500</v>
      </c>
      <c r="J184" s="143">
        <f>+I184/F184</f>
        <v>6.233994338948317E-2</v>
      </c>
      <c r="K184" s="80">
        <f>+jan!M185</f>
        <v>0</v>
      </c>
      <c r="L184" s="80">
        <v>12855500</v>
      </c>
      <c r="M184" s="80">
        <f>+K184+L184</f>
        <v>12855500</v>
      </c>
      <c r="N184" s="171">
        <f>+M184/F184</f>
        <v>6.233994338948317E-2</v>
      </c>
      <c r="O184" s="15">
        <f>+F184-M184</f>
        <v>193360600</v>
      </c>
      <c r="P184" s="77"/>
      <c r="Q184" s="6" t="str">
        <f t="shared" ref="Q184" si="104">IF(M184&lt;=I184,"OKE","Salah")</f>
        <v>OKE</v>
      </c>
      <c r="R184" s="6"/>
    </row>
    <row r="185" spans="1:18" ht="15.75" customHeight="1" x14ac:dyDescent="0.2">
      <c r="A185" s="74"/>
      <c r="B185" s="95"/>
      <c r="C185" s="27"/>
      <c r="D185" s="13"/>
      <c r="E185" s="14"/>
      <c r="F185" s="13"/>
      <c r="G185" s="78"/>
      <c r="H185" s="79"/>
      <c r="I185" s="15"/>
      <c r="J185" s="143"/>
      <c r="K185" s="80"/>
      <c r="L185" s="80"/>
      <c r="M185" s="80"/>
      <c r="N185" s="171"/>
      <c r="O185" s="15"/>
      <c r="P185" s="77"/>
      <c r="Q185" s="6"/>
      <c r="R185" s="6"/>
    </row>
    <row r="186" spans="1:18" ht="14.1" customHeight="1" x14ac:dyDescent="0.2">
      <c r="A186" s="74">
        <v>2</v>
      </c>
      <c r="B186" s="95" t="s">
        <v>217</v>
      </c>
      <c r="C186" s="27" t="s">
        <v>216</v>
      </c>
      <c r="D186" s="13">
        <v>615087000</v>
      </c>
      <c r="E186" s="14"/>
      <c r="F186" s="13">
        <f>E186+D186</f>
        <v>615087000</v>
      </c>
      <c r="G186" s="80">
        <f>+jan!I187</f>
        <v>0</v>
      </c>
      <c r="H186" s="79">
        <v>14465000</v>
      </c>
      <c r="I186" s="15">
        <f>H186+G186</f>
        <v>14465000</v>
      </c>
      <c r="J186" s="143">
        <f>+I186/F186</f>
        <v>2.3516998408355239E-2</v>
      </c>
      <c r="K186" s="80">
        <f>+jan!M187</f>
        <v>0</v>
      </c>
      <c r="L186" s="80">
        <v>14455000</v>
      </c>
      <c r="M186" s="80">
        <f>+K186+L186</f>
        <v>14455000</v>
      </c>
      <c r="N186" s="171">
        <f>+M186/F186</f>
        <v>2.3500740545646388E-2</v>
      </c>
      <c r="O186" s="15">
        <f>+F186-M186</f>
        <v>600632000</v>
      </c>
      <c r="P186" s="77"/>
      <c r="Q186" s="6" t="str">
        <f t="shared" ref="Q186" si="105">IF(M186&lt;=I186,"OKE","Salah")</f>
        <v>OKE</v>
      </c>
      <c r="R186" s="6"/>
    </row>
    <row r="187" spans="1:18" ht="17.25" customHeight="1" x14ac:dyDescent="0.2">
      <c r="A187" s="74"/>
      <c r="B187" s="95"/>
      <c r="C187" s="27"/>
      <c r="D187" s="13"/>
      <c r="E187" s="14"/>
      <c r="F187" s="13"/>
      <c r="G187" s="78"/>
      <c r="H187" s="79"/>
      <c r="I187" s="15"/>
      <c r="J187" s="143"/>
      <c r="K187" s="80"/>
      <c r="L187" s="80"/>
      <c r="M187" s="80"/>
      <c r="N187" s="171"/>
      <c r="O187" s="15"/>
      <c r="P187" s="77"/>
      <c r="Q187" s="6"/>
      <c r="R187" s="6"/>
    </row>
    <row r="188" spans="1:18" ht="14.1" customHeight="1" x14ac:dyDescent="0.2">
      <c r="A188" s="74">
        <v>3</v>
      </c>
      <c r="B188" s="95" t="s">
        <v>219</v>
      </c>
      <c r="C188" s="27" t="s">
        <v>218</v>
      </c>
      <c r="D188" s="13">
        <v>257443800</v>
      </c>
      <c r="E188" s="14"/>
      <c r="F188" s="13">
        <f>E188+D188</f>
        <v>257443800</v>
      </c>
      <c r="G188" s="80">
        <f>+jan!I189</f>
        <v>0</v>
      </c>
      <c r="H188" s="79">
        <v>13136000</v>
      </c>
      <c r="I188" s="15">
        <f>H188+G188</f>
        <v>13136000</v>
      </c>
      <c r="J188" s="143">
        <f>+I188/F188</f>
        <v>5.1024728503852104E-2</v>
      </c>
      <c r="K188" s="80">
        <f>+jan!M189</f>
        <v>0</v>
      </c>
      <c r="L188" s="80">
        <v>12840000</v>
      </c>
      <c r="M188" s="80">
        <f>+K188+L188</f>
        <v>12840000</v>
      </c>
      <c r="N188" s="171">
        <f>+M188/F188</f>
        <v>4.9874963001633757E-2</v>
      </c>
      <c r="O188" s="15">
        <f>+F188-M188</f>
        <v>244603800</v>
      </c>
      <c r="P188" s="77"/>
      <c r="Q188" s="6" t="str">
        <f t="shared" ref="Q188" si="106">IF(M188&lt;=I188,"OKE","Salah")</f>
        <v>OKE</v>
      </c>
      <c r="R188" s="6"/>
    </row>
    <row r="189" spans="1:18" ht="17.25" customHeight="1" x14ac:dyDescent="0.2">
      <c r="A189" s="74"/>
      <c r="B189" s="95"/>
      <c r="C189" s="27"/>
      <c r="D189" s="13"/>
      <c r="E189" s="14"/>
      <c r="F189" s="13"/>
      <c r="G189" s="78"/>
      <c r="H189" s="79"/>
      <c r="I189" s="15"/>
      <c r="J189" s="143"/>
      <c r="K189" s="80"/>
      <c r="L189" s="80"/>
      <c r="M189" s="80"/>
      <c r="N189" s="171"/>
      <c r="O189" s="15"/>
      <c r="P189" s="77"/>
      <c r="Q189" s="6"/>
      <c r="R189" s="6"/>
    </row>
    <row r="190" spans="1:18" ht="27.75" customHeight="1" x14ac:dyDescent="0.2">
      <c r="A190" s="205">
        <v>4</v>
      </c>
      <c r="B190" s="220" t="s">
        <v>221</v>
      </c>
      <c r="C190" s="219" t="s">
        <v>220</v>
      </c>
      <c r="D190" s="213">
        <v>110362500</v>
      </c>
      <c r="E190" s="14"/>
      <c r="F190" s="13">
        <f>E190+D190</f>
        <v>110362500</v>
      </c>
      <c r="G190" s="80">
        <f>+jan!I191</f>
        <v>0</v>
      </c>
      <c r="H190" s="79">
        <v>5295000</v>
      </c>
      <c r="I190" s="15">
        <f>H190+G190</f>
        <v>5295000</v>
      </c>
      <c r="J190" s="143">
        <f>+I190/F190</f>
        <v>4.7978253482840641E-2</v>
      </c>
      <c r="K190" s="80">
        <f>+jan!M191</f>
        <v>0</v>
      </c>
      <c r="L190" s="80">
        <v>5295000</v>
      </c>
      <c r="M190" s="80">
        <f>+K190+L190</f>
        <v>5295000</v>
      </c>
      <c r="N190" s="171">
        <f>+M190/F190</f>
        <v>4.7978253482840641E-2</v>
      </c>
      <c r="O190" s="15">
        <f>+F190-M190</f>
        <v>105067500</v>
      </c>
      <c r="P190" s="77"/>
      <c r="Q190" s="6" t="str">
        <f t="shared" ref="Q190" si="107">IF(M190&lt;=I190,"OKE","Salah")</f>
        <v>OKE</v>
      </c>
      <c r="R190" s="6"/>
    </row>
    <row r="191" spans="1:18" ht="14.1" customHeight="1" x14ac:dyDescent="0.2">
      <c r="A191" s="139"/>
      <c r="B191" s="139"/>
      <c r="C191" s="140"/>
      <c r="D191" s="142"/>
      <c r="E191" s="142"/>
      <c r="F191" s="142"/>
      <c r="G191" s="188"/>
      <c r="H191" s="246"/>
      <c r="I191" s="188"/>
      <c r="J191" s="247"/>
      <c r="K191" s="188"/>
      <c r="L191" s="245"/>
      <c r="M191" s="245"/>
      <c r="N191" s="247"/>
      <c r="O191" s="141"/>
      <c r="P191" s="77"/>
      <c r="Q191" s="6"/>
      <c r="R191" s="6"/>
    </row>
    <row r="192" spans="1:18" ht="14.1" customHeight="1" x14ac:dyDescent="0.2">
      <c r="A192" s="388"/>
      <c r="B192" s="388"/>
      <c r="C192" s="395" t="s">
        <v>72</v>
      </c>
      <c r="D192" s="364">
        <f>SUM(D184:D190)</f>
        <v>1189109400</v>
      </c>
      <c r="E192" s="364">
        <f>SUM(E184:E190)</f>
        <v>0</v>
      </c>
      <c r="F192" s="364">
        <f>SUM(F184:F190)</f>
        <v>1189109400</v>
      </c>
      <c r="G192" s="364">
        <f>SUM(G184:G190)</f>
        <v>0</v>
      </c>
      <c r="H192" s="364">
        <f>SUM(H184:H190)</f>
        <v>45751500</v>
      </c>
      <c r="I192" s="364">
        <f>G192+H192</f>
        <v>45751500</v>
      </c>
      <c r="J192" s="368">
        <f>+I192/F192</f>
        <v>3.847543379944688E-2</v>
      </c>
      <c r="K192" s="364">
        <f>SUM(K184:K190)</f>
        <v>0</v>
      </c>
      <c r="L192" s="364">
        <f>SUM(L184:L190)</f>
        <v>45445500</v>
      </c>
      <c r="M192" s="364">
        <f>+K192+L192</f>
        <v>45445500</v>
      </c>
      <c r="N192" s="366">
        <f>+M192/F192</f>
        <v>3.8218098351589853E-2</v>
      </c>
      <c r="O192" s="364">
        <f>+F192-M192</f>
        <v>1143663900</v>
      </c>
      <c r="P192" s="77"/>
      <c r="Q192" s="6" t="str">
        <f t="shared" ref="Q192:Q227" si="108">IF(M192&lt;=I192,"OKE","Salah")</f>
        <v>OKE</v>
      </c>
      <c r="R192" s="6"/>
    </row>
    <row r="193" spans="1:19" ht="14.1" customHeight="1" x14ac:dyDescent="0.2">
      <c r="A193" s="389"/>
      <c r="B193" s="389"/>
      <c r="C193" s="396"/>
      <c r="D193" s="365"/>
      <c r="E193" s="365"/>
      <c r="F193" s="451"/>
      <c r="G193" s="365"/>
      <c r="H193" s="365"/>
      <c r="I193" s="396"/>
      <c r="J193" s="369"/>
      <c r="K193" s="365"/>
      <c r="L193" s="365"/>
      <c r="M193" s="365"/>
      <c r="N193" s="367"/>
      <c r="O193" s="365"/>
      <c r="P193" s="77"/>
      <c r="Q193" s="6" t="str">
        <f t="shared" si="108"/>
        <v>OKE</v>
      </c>
      <c r="R193" s="6"/>
    </row>
    <row r="194" spans="1:19" ht="14.45" customHeight="1" x14ac:dyDescent="0.2">
      <c r="A194" s="74"/>
      <c r="B194" s="76"/>
      <c r="C194" s="76"/>
      <c r="D194" s="8"/>
      <c r="E194" s="8"/>
      <c r="F194" s="8"/>
      <c r="G194" s="76"/>
      <c r="H194" s="82"/>
      <c r="I194" s="76"/>
      <c r="J194" s="86"/>
      <c r="K194" s="76"/>
      <c r="L194" s="76"/>
      <c r="M194" s="76"/>
      <c r="N194" s="248"/>
      <c r="O194" s="241"/>
      <c r="P194" s="77"/>
      <c r="Q194" s="6"/>
      <c r="R194" s="6"/>
    </row>
    <row r="195" spans="1:19" ht="17.100000000000001" customHeight="1" x14ac:dyDescent="0.2">
      <c r="A195" s="74"/>
      <c r="B195" s="76"/>
      <c r="C195" s="244" t="s">
        <v>73</v>
      </c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86"/>
      <c r="O195" s="76"/>
      <c r="P195" s="77"/>
      <c r="Q195" s="6"/>
      <c r="R195" s="6"/>
    </row>
    <row r="196" spans="1:19" ht="14.25" customHeight="1" x14ac:dyDescent="0.2">
      <c r="A196" s="74"/>
      <c r="B196" s="76"/>
      <c r="C196" s="76"/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ht="27" customHeight="1" x14ac:dyDescent="0.2">
      <c r="A197" s="7"/>
      <c r="B197" s="206" t="s">
        <v>154</v>
      </c>
      <c r="C197" s="201" t="s">
        <v>153</v>
      </c>
      <c r="D197" s="10">
        <f>+D199+D207+D221+D229+D245</f>
        <v>11163425000</v>
      </c>
      <c r="E197" s="10">
        <f>+E199+E207+E221+E229+E245</f>
        <v>0</v>
      </c>
      <c r="F197" s="10">
        <f>+D197+E197</f>
        <v>11163425000</v>
      </c>
      <c r="G197" s="10">
        <f>+G207+G221+G229+G245</f>
        <v>95983138</v>
      </c>
      <c r="H197" s="10">
        <f>+H207+H221+H229+H245</f>
        <v>1012907472</v>
      </c>
      <c r="I197" s="10">
        <f>+G197+H197</f>
        <v>1108890610</v>
      </c>
      <c r="J197" s="168">
        <f>+I197/F197</f>
        <v>9.9332472785009979E-2</v>
      </c>
      <c r="K197" s="10">
        <f>+K199+K207+K221+K229+K245</f>
        <v>95983138</v>
      </c>
      <c r="L197" s="10">
        <f>+L199+L207+L221+L229+L245</f>
        <v>1012197566</v>
      </c>
      <c r="M197" s="10">
        <f>+K197+L197</f>
        <v>1108180704</v>
      </c>
      <c r="N197" s="169">
        <f>+M197/F197</f>
        <v>9.9268880652667077E-2</v>
      </c>
      <c r="O197" s="10">
        <f>+F197-M197</f>
        <v>10055244296</v>
      </c>
      <c r="P197" s="77"/>
      <c r="Q197" s="6" t="str">
        <f t="shared" ref="Q197:Q199" si="109">IF(M197&lt;=I197,"OKE","Salah")</f>
        <v>OKE</v>
      </c>
      <c r="R197" s="6"/>
    </row>
    <row r="198" spans="1:19" ht="15" customHeight="1" x14ac:dyDescent="0.2">
      <c r="A198" s="7"/>
      <c r="B198" s="206"/>
      <c r="C198" s="305"/>
      <c r="D198" s="10"/>
      <c r="E198" s="296"/>
      <c r="F198" s="10"/>
      <c r="G198" s="10"/>
      <c r="H198" s="10"/>
      <c r="I198" s="10"/>
      <c r="J198" s="168"/>
      <c r="K198" s="10"/>
      <c r="L198" s="10"/>
      <c r="M198" s="10"/>
      <c r="N198" s="169"/>
      <c r="O198" s="10"/>
      <c r="P198" s="77"/>
      <c r="Q198" s="6"/>
      <c r="R198" s="6"/>
    </row>
    <row r="199" spans="1:19" ht="15" customHeight="1" x14ac:dyDescent="0.2">
      <c r="A199" s="212"/>
      <c r="B199" s="7" t="s">
        <v>160</v>
      </c>
      <c r="C199" s="208" t="s">
        <v>315</v>
      </c>
      <c r="D199" s="178">
        <f>+D201+D203</f>
        <v>164975000</v>
      </c>
      <c r="E199" s="221"/>
      <c r="F199" s="178">
        <f>+D199+E199</f>
        <v>164975000</v>
      </c>
      <c r="G199" s="178">
        <f t="shared" ref="G199:H199" si="110">+G201+G203</f>
        <v>0</v>
      </c>
      <c r="H199" s="178">
        <f t="shared" si="110"/>
        <v>0</v>
      </c>
      <c r="I199" s="10">
        <f>+G199+H199</f>
        <v>0</v>
      </c>
      <c r="J199" s="168">
        <f>+I199/F199</f>
        <v>0</v>
      </c>
      <c r="K199" s="178">
        <f t="shared" ref="K199:L199" si="111">+K201+K203</f>
        <v>0</v>
      </c>
      <c r="L199" s="178">
        <f t="shared" si="111"/>
        <v>0</v>
      </c>
      <c r="M199" s="10">
        <f>+K199+L199</f>
        <v>0</v>
      </c>
      <c r="N199" s="169">
        <f>+M199/F199</f>
        <v>0</v>
      </c>
      <c r="O199" s="10">
        <f>+F199-M199</f>
        <v>164975000</v>
      </c>
      <c r="P199" s="77"/>
      <c r="Q199" s="6" t="str">
        <f t="shared" si="109"/>
        <v>OKE</v>
      </c>
      <c r="R199" s="6"/>
    </row>
    <row r="200" spans="1:19" ht="15" customHeight="1" x14ac:dyDescent="0.2">
      <c r="A200" s="74"/>
      <c r="B200" s="74"/>
      <c r="C200" s="76"/>
      <c r="D200" s="15"/>
      <c r="E200" s="17"/>
      <c r="F200" s="15"/>
      <c r="G200" s="78"/>
      <c r="H200" s="79"/>
      <c r="I200" s="80"/>
      <c r="J200" s="86"/>
      <c r="K200" s="78"/>
      <c r="L200" s="76"/>
      <c r="M200" s="76"/>
      <c r="N200" s="86"/>
      <c r="O200" s="10"/>
      <c r="P200" s="77"/>
      <c r="Q200" s="6"/>
      <c r="R200" s="6"/>
    </row>
    <row r="201" spans="1:19" ht="15" customHeight="1" x14ac:dyDescent="0.2">
      <c r="A201" s="74">
        <v>1</v>
      </c>
      <c r="B201" s="28" t="s">
        <v>164</v>
      </c>
      <c r="C201" s="83" t="s">
        <v>316</v>
      </c>
      <c r="D201" s="13">
        <v>139975000</v>
      </c>
      <c r="E201" s="14"/>
      <c r="F201" s="13">
        <f>+D201+E201</f>
        <v>139975000</v>
      </c>
      <c r="G201" s="80">
        <f>+jan!I202</f>
        <v>0</v>
      </c>
      <c r="H201" s="79">
        <v>0</v>
      </c>
      <c r="I201" s="15">
        <v>0</v>
      </c>
      <c r="J201" s="143">
        <f>+I201/F201</f>
        <v>0</v>
      </c>
      <c r="K201" s="80">
        <f>+jan!M202</f>
        <v>0</v>
      </c>
      <c r="L201" s="80">
        <v>0</v>
      </c>
      <c r="M201" s="80">
        <f>+K201+L201</f>
        <v>0</v>
      </c>
      <c r="N201" s="171">
        <f>+M201/F201</f>
        <v>0</v>
      </c>
      <c r="O201" s="15">
        <f>+F201-M201</f>
        <v>139975000</v>
      </c>
      <c r="P201" s="77"/>
      <c r="Q201" s="6" t="str">
        <f t="shared" ref="Q201" si="112">IF(M201&lt;=I201,"OKE","Salah")</f>
        <v>OKE</v>
      </c>
      <c r="R201" s="6"/>
    </row>
    <row r="202" spans="1:19" ht="15" customHeight="1" x14ac:dyDescent="0.2">
      <c r="A202" s="74"/>
      <c r="B202" s="74"/>
      <c r="C202" s="83"/>
      <c r="D202" s="15"/>
      <c r="E202" s="17"/>
      <c r="F202" s="15"/>
      <c r="G202" s="78"/>
      <c r="H202" s="79"/>
      <c r="I202" s="80"/>
      <c r="J202" s="86"/>
      <c r="K202" s="78"/>
      <c r="L202" s="76"/>
      <c r="M202" s="76"/>
      <c r="N202" s="86"/>
      <c r="O202" s="10"/>
      <c r="P202" s="77"/>
      <c r="Q202" s="6"/>
      <c r="R202" s="6"/>
    </row>
    <row r="203" spans="1:19" ht="26.25" customHeight="1" x14ac:dyDescent="0.2">
      <c r="A203" s="74">
        <v>2</v>
      </c>
      <c r="B203" s="28" t="s">
        <v>165</v>
      </c>
      <c r="C203" s="304" t="s">
        <v>317</v>
      </c>
      <c r="D203" s="13">
        <v>25000000</v>
      </c>
      <c r="E203" s="14"/>
      <c r="F203" s="13">
        <f>+D203+E203</f>
        <v>25000000</v>
      </c>
      <c r="G203" s="80">
        <f>+jan!I204</f>
        <v>0</v>
      </c>
      <c r="H203" s="79"/>
      <c r="I203" s="15">
        <f>+G203+H203</f>
        <v>0</v>
      </c>
      <c r="J203" s="143">
        <f>+I203/F203</f>
        <v>0</v>
      </c>
      <c r="K203" s="80">
        <f>+jan!M204</f>
        <v>0</v>
      </c>
      <c r="L203" s="80"/>
      <c r="M203" s="80">
        <f>+K203+L203</f>
        <v>0</v>
      </c>
      <c r="N203" s="171">
        <f>+M203/F203</f>
        <v>0</v>
      </c>
      <c r="O203" s="15">
        <f>+F203-M203</f>
        <v>25000000</v>
      </c>
      <c r="P203" s="77"/>
      <c r="Q203" s="6" t="str">
        <f t="shared" ref="Q203" si="113">IF(M203&lt;=I203,"OKE","Salah")</f>
        <v>OKE</v>
      </c>
      <c r="R203" s="6"/>
    </row>
    <row r="204" spans="1:19" ht="15" customHeight="1" x14ac:dyDescent="0.2">
      <c r="A204" s="74"/>
      <c r="B204" s="28"/>
      <c r="C204" s="304"/>
      <c r="D204" s="13"/>
      <c r="E204" s="14"/>
      <c r="F204" s="13"/>
      <c r="G204" s="78"/>
      <c r="H204" s="79"/>
      <c r="I204" s="15"/>
      <c r="J204" s="143"/>
      <c r="K204" s="78"/>
      <c r="L204" s="80"/>
      <c r="M204" s="80"/>
      <c r="N204" s="171"/>
      <c r="O204" s="15"/>
      <c r="P204" s="77"/>
      <c r="Q204" s="6"/>
      <c r="R204" s="6"/>
    </row>
    <row r="205" spans="1:19" ht="15" customHeight="1" x14ac:dyDescent="0.2">
      <c r="A205" s="81"/>
      <c r="B205" s="81"/>
      <c r="C205" s="23" t="s">
        <v>172</v>
      </c>
      <c r="D205" s="24">
        <f>+D201+D203</f>
        <v>164975000</v>
      </c>
      <c r="E205" s="24">
        <f t="shared" ref="E205" si="114">+E201+E203</f>
        <v>0</v>
      </c>
      <c r="F205" s="141">
        <f>+D205+E205</f>
        <v>164975000</v>
      </c>
      <c r="G205" s="24">
        <f t="shared" ref="G205:H205" si="115">+G201+G203</f>
        <v>0</v>
      </c>
      <c r="H205" s="24">
        <f t="shared" si="115"/>
        <v>0</v>
      </c>
      <c r="I205" s="24">
        <f>+G205+H205</f>
        <v>0</v>
      </c>
      <c r="J205" s="175">
        <f>+I205/F205</f>
        <v>0</v>
      </c>
      <c r="K205" s="24">
        <f t="shared" ref="K205:L205" si="116">+K201+K203</f>
        <v>0</v>
      </c>
      <c r="L205" s="24">
        <f t="shared" si="116"/>
        <v>0</v>
      </c>
      <c r="M205" s="24">
        <f>+K205+L205</f>
        <v>0</v>
      </c>
      <c r="N205" s="172">
        <f>+M205/F205</f>
        <v>0</v>
      </c>
      <c r="O205" s="24">
        <f>+F205-M205</f>
        <v>164975000</v>
      </c>
      <c r="P205" s="77"/>
      <c r="Q205" s="6" t="str">
        <f t="shared" ref="Q205" si="117">IF(M205&lt;=I205,"OKE","Salah")</f>
        <v>OKE</v>
      </c>
      <c r="R205" s="6"/>
    </row>
    <row r="206" spans="1:19" ht="14.1" customHeight="1" x14ac:dyDescent="0.2">
      <c r="A206" s="74"/>
      <c r="B206" s="28"/>
      <c r="C206" s="83"/>
      <c r="D206" s="13"/>
      <c r="E206" s="14"/>
      <c r="F206" s="13"/>
      <c r="G206" s="78"/>
      <c r="H206" s="79"/>
      <c r="I206" s="15"/>
      <c r="J206" s="143"/>
      <c r="K206" s="78"/>
      <c r="L206" s="80"/>
      <c r="M206" s="80"/>
      <c r="N206" s="171"/>
      <c r="O206" s="15"/>
      <c r="P206" s="77"/>
      <c r="Q206" s="6"/>
      <c r="R206" s="6"/>
    </row>
    <row r="207" spans="1:19" s="77" customFormat="1" ht="14.1" customHeight="1" x14ac:dyDescent="0.2">
      <c r="A207" s="212"/>
      <c r="B207" s="7" t="s">
        <v>160</v>
      </c>
      <c r="C207" s="208" t="s">
        <v>159</v>
      </c>
      <c r="D207" s="178">
        <f>SUM(D209:D217)</f>
        <v>5266450000</v>
      </c>
      <c r="E207" s="221"/>
      <c r="F207" s="178">
        <f>+D207+E207</f>
        <v>5266450000</v>
      </c>
      <c r="G207" s="178">
        <f t="shared" ref="G207:H207" si="118">SUM(G209:G217)</f>
        <v>0</v>
      </c>
      <c r="H207" s="178">
        <f t="shared" si="118"/>
        <v>653620406</v>
      </c>
      <c r="I207" s="10">
        <f>+G207+H207</f>
        <v>653620406</v>
      </c>
      <c r="J207" s="168">
        <f>+I207/F207</f>
        <v>0.12411024618101378</v>
      </c>
      <c r="K207" s="178">
        <f t="shared" ref="K207:L207" si="119">SUM(K209:K217)</f>
        <v>0</v>
      </c>
      <c r="L207" s="178">
        <f t="shared" si="119"/>
        <v>652945500</v>
      </c>
      <c r="M207" s="10">
        <f>+K207+L207</f>
        <v>652945500</v>
      </c>
      <c r="N207" s="169">
        <f>+M207/F207</f>
        <v>0.12398209420007786</v>
      </c>
      <c r="O207" s="10">
        <f>+F207-M207</f>
        <v>4613504500</v>
      </c>
      <c r="Q207" s="6" t="str">
        <f t="shared" si="108"/>
        <v>OKE</v>
      </c>
      <c r="R207" s="6"/>
      <c r="S207" s="69"/>
    </row>
    <row r="208" spans="1:19" s="77" customFormat="1" ht="14.1" customHeight="1" x14ac:dyDescent="0.2">
      <c r="A208" s="74"/>
      <c r="B208" s="74"/>
      <c r="C208" s="76"/>
      <c r="D208" s="15"/>
      <c r="E208" s="17"/>
      <c r="F208" s="15"/>
      <c r="G208" s="78"/>
      <c r="H208" s="79"/>
      <c r="I208" s="80"/>
      <c r="J208" s="86"/>
      <c r="K208" s="78"/>
      <c r="L208" s="76"/>
      <c r="M208" s="76"/>
      <c r="N208" s="86"/>
      <c r="O208" s="10"/>
      <c r="Q208" s="6"/>
      <c r="R208" s="6"/>
      <c r="S208" s="69"/>
    </row>
    <row r="209" spans="1:19" s="77" customFormat="1" ht="15" customHeight="1" x14ac:dyDescent="0.2">
      <c r="A209" s="74">
        <v>3</v>
      </c>
      <c r="B209" s="28" t="s">
        <v>164</v>
      </c>
      <c r="C209" s="83" t="s">
        <v>161</v>
      </c>
      <c r="D209" s="13">
        <v>1660000000</v>
      </c>
      <c r="E209" s="14"/>
      <c r="F209" s="13">
        <f>+D209+E209</f>
        <v>1660000000</v>
      </c>
      <c r="G209" s="80">
        <f>+jan!I210</f>
        <v>0</v>
      </c>
      <c r="H209" s="80">
        <f>124305000+60971300</f>
        <v>185276300</v>
      </c>
      <c r="I209" s="15">
        <f>+G209+H209</f>
        <v>185276300</v>
      </c>
      <c r="J209" s="143">
        <f>+I209/F209</f>
        <v>0.11161222891566265</v>
      </c>
      <c r="K209" s="80">
        <f>+jan!M210</f>
        <v>0</v>
      </c>
      <c r="L209" s="80">
        <f>124305000+60971300</f>
        <v>185276300</v>
      </c>
      <c r="M209" s="80">
        <f>+K209+L209</f>
        <v>185276300</v>
      </c>
      <c r="N209" s="171">
        <f>+M209/F209</f>
        <v>0.11161222891566265</v>
      </c>
      <c r="O209" s="15">
        <f>+F209-M209</f>
        <v>1474723700</v>
      </c>
      <c r="Q209" s="6" t="str">
        <f t="shared" si="108"/>
        <v>OKE</v>
      </c>
      <c r="R209" s="6"/>
      <c r="S209" s="68"/>
    </row>
    <row r="210" spans="1:19" s="77" customFormat="1" ht="14.1" customHeight="1" x14ac:dyDescent="0.2">
      <c r="A210" s="74"/>
      <c r="B210" s="74"/>
      <c r="C210" s="83"/>
      <c r="D210" s="15"/>
      <c r="E210" s="17"/>
      <c r="F210" s="15"/>
      <c r="G210" s="78"/>
      <c r="H210" s="79"/>
      <c r="I210" s="15">
        <f>+G210+H210</f>
        <v>0</v>
      </c>
      <c r="J210" s="86"/>
      <c r="K210" s="78"/>
      <c r="L210" s="76"/>
      <c r="M210" s="76"/>
      <c r="N210" s="86"/>
      <c r="O210" s="10"/>
      <c r="Q210" s="6"/>
      <c r="R210" s="6"/>
      <c r="S210" s="68"/>
    </row>
    <row r="211" spans="1:19" s="77" customFormat="1" ht="15.75" customHeight="1" x14ac:dyDescent="0.2">
      <c r="A211" s="74">
        <v>4</v>
      </c>
      <c r="B211" s="28" t="s">
        <v>165</v>
      </c>
      <c r="C211" s="83" t="s">
        <v>162</v>
      </c>
      <c r="D211" s="13">
        <v>575000000</v>
      </c>
      <c r="E211" s="14"/>
      <c r="F211" s="13">
        <f>+D211+E211</f>
        <v>575000000</v>
      </c>
      <c r="G211" s="80">
        <f>+jan!I212</f>
        <v>0</v>
      </c>
      <c r="H211" s="79">
        <v>41504700</v>
      </c>
      <c r="I211" s="15">
        <f>+G211+H211</f>
        <v>41504700</v>
      </c>
      <c r="J211" s="143">
        <f>+I211/F211</f>
        <v>7.2182086956521743E-2</v>
      </c>
      <c r="K211" s="80">
        <f>+jan!M212</f>
        <v>0</v>
      </c>
      <c r="L211" s="80">
        <v>41504700</v>
      </c>
      <c r="M211" s="80">
        <f>+K211+L211</f>
        <v>41504700</v>
      </c>
      <c r="N211" s="171">
        <f>+M211/F211</f>
        <v>7.2182086956521743E-2</v>
      </c>
      <c r="O211" s="15">
        <f>+F211-M211</f>
        <v>533495300</v>
      </c>
      <c r="Q211" s="6" t="str">
        <f t="shared" si="108"/>
        <v>OKE</v>
      </c>
      <c r="R211" s="6"/>
      <c r="S211" s="69"/>
    </row>
    <row r="212" spans="1:19" s="77" customFormat="1" ht="14.1" customHeight="1" x14ac:dyDescent="0.2">
      <c r="A212" s="74"/>
      <c r="B212" s="74"/>
      <c r="C212" s="76"/>
      <c r="D212" s="15"/>
      <c r="E212" s="17"/>
      <c r="F212" s="15"/>
      <c r="G212" s="78"/>
      <c r="H212" s="79"/>
      <c r="I212" s="80"/>
      <c r="J212" s="86"/>
      <c r="K212" s="78"/>
      <c r="L212" s="76"/>
      <c r="M212" s="76"/>
      <c r="N212" s="86"/>
      <c r="O212" s="10"/>
      <c r="Q212" s="6"/>
      <c r="R212" s="6"/>
      <c r="S212" s="68"/>
    </row>
    <row r="213" spans="1:19" s="77" customFormat="1" ht="17.25" customHeight="1" x14ac:dyDescent="0.2">
      <c r="A213" s="74">
        <v>5</v>
      </c>
      <c r="B213" s="28" t="s">
        <v>166</v>
      </c>
      <c r="C213" s="83" t="s">
        <v>163</v>
      </c>
      <c r="D213" s="13">
        <v>270000000</v>
      </c>
      <c r="E213" s="14"/>
      <c r="F213" s="13">
        <f>+D213+E213</f>
        <v>270000000</v>
      </c>
      <c r="G213" s="80">
        <f>+jan!I214</f>
        <v>0</v>
      </c>
      <c r="H213" s="79">
        <v>16839500</v>
      </c>
      <c r="I213" s="15">
        <f>+G213+H213</f>
        <v>16839500</v>
      </c>
      <c r="J213" s="143">
        <f>+I213/F213</f>
        <v>6.2368518518518518E-2</v>
      </c>
      <c r="K213" s="80">
        <f>+jan!M214</f>
        <v>0</v>
      </c>
      <c r="L213" s="80">
        <v>16839500</v>
      </c>
      <c r="M213" s="80">
        <f>+K213+L213</f>
        <v>16839500</v>
      </c>
      <c r="N213" s="171">
        <f>+M213/F213</f>
        <v>6.2368518518518518E-2</v>
      </c>
      <c r="O213" s="15">
        <f>+F213-M213</f>
        <v>253160500</v>
      </c>
      <c r="Q213" s="6" t="str">
        <f t="shared" si="108"/>
        <v>OKE</v>
      </c>
      <c r="R213" s="6"/>
      <c r="S213" s="68"/>
    </row>
    <row r="214" spans="1:19" s="77" customFormat="1" ht="14.1" customHeight="1" x14ac:dyDescent="0.2">
      <c r="A214" s="74"/>
      <c r="B214" s="28"/>
      <c r="C214" s="83"/>
      <c r="D214" s="13"/>
      <c r="E214" s="14"/>
      <c r="F214" s="13"/>
      <c r="G214" s="78"/>
      <c r="H214" s="79"/>
      <c r="I214" s="15"/>
      <c r="J214" s="143"/>
      <c r="K214" s="78"/>
      <c r="L214" s="80"/>
      <c r="M214" s="80"/>
      <c r="N214" s="171"/>
      <c r="O214" s="15"/>
      <c r="Q214" s="6"/>
      <c r="R214" s="6"/>
      <c r="S214" s="68"/>
    </row>
    <row r="215" spans="1:19" s="77" customFormat="1" ht="17.25" customHeight="1" x14ac:dyDescent="0.2">
      <c r="A215" s="74">
        <v>6</v>
      </c>
      <c r="B215" s="28" t="s">
        <v>168</v>
      </c>
      <c r="C215" s="83" t="s">
        <v>167</v>
      </c>
      <c r="D215" s="13">
        <v>1800000000</v>
      </c>
      <c r="E215" s="14"/>
      <c r="F215" s="13">
        <f>+D215+E215</f>
        <v>1800000000</v>
      </c>
      <c r="G215" s="80">
        <f>+jan!I216</f>
        <v>0</v>
      </c>
      <c r="H215" s="79">
        <f>196000000+115950906</f>
        <v>311950906</v>
      </c>
      <c r="I215" s="15">
        <f>+G215+H215</f>
        <v>311950906</v>
      </c>
      <c r="J215" s="143">
        <f>+I215/F215</f>
        <v>0.17330605888888889</v>
      </c>
      <c r="K215" s="80">
        <f>+jan!M216</f>
        <v>0</v>
      </c>
      <c r="L215" s="80">
        <f>196000000+115276000</f>
        <v>311276000</v>
      </c>
      <c r="M215" s="80">
        <f>+K215+L215</f>
        <v>311276000</v>
      </c>
      <c r="N215" s="171">
        <f>+M215/F215</f>
        <v>0.17293111111111112</v>
      </c>
      <c r="O215" s="15">
        <f>+F215-M215</f>
        <v>1488724000</v>
      </c>
      <c r="Q215" s="6" t="str">
        <f t="shared" si="108"/>
        <v>OKE</v>
      </c>
      <c r="R215" s="6"/>
      <c r="S215" s="68"/>
    </row>
    <row r="216" spans="1:19" s="77" customFormat="1" ht="14.1" customHeight="1" x14ac:dyDescent="0.2">
      <c r="A216" s="74"/>
      <c r="B216" s="28"/>
      <c r="C216" s="83"/>
      <c r="D216" s="13"/>
      <c r="E216" s="14"/>
      <c r="F216" s="13"/>
      <c r="G216" s="78"/>
      <c r="H216" s="79"/>
      <c r="I216" s="15"/>
      <c r="J216" s="143"/>
      <c r="K216" s="78"/>
      <c r="L216" s="80"/>
      <c r="M216" s="80"/>
      <c r="N216" s="171"/>
      <c r="O216" s="15"/>
      <c r="Q216" s="6"/>
      <c r="R216" s="6"/>
      <c r="S216" s="68"/>
    </row>
    <row r="217" spans="1:19" s="77" customFormat="1" ht="16.5" customHeight="1" x14ac:dyDescent="0.2">
      <c r="A217" s="74">
        <v>7</v>
      </c>
      <c r="B217" s="28" t="s">
        <v>170</v>
      </c>
      <c r="C217" s="83" t="s">
        <v>169</v>
      </c>
      <c r="D217" s="13">
        <v>961450000</v>
      </c>
      <c r="E217" s="14"/>
      <c r="F217" s="13">
        <f>+D217+E217</f>
        <v>961450000</v>
      </c>
      <c r="G217" s="80">
        <f>+jan!I218</f>
        <v>0</v>
      </c>
      <c r="H217" s="79">
        <v>98049000</v>
      </c>
      <c r="I217" s="15">
        <f>+G217+H217</f>
        <v>98049000</v>
      </c>
      <c r="J217" s="143">
        <f>+I217/F217</f>
        <v>0.10198034219148161</v>
      </c>
      <c r="K217" s="80">
        <f>+jan!M218</f>
        <v>0</v>
      </c>
      <c r="L217" s="80">
        <v>98049000</v>
      </c>
      <c r="M217" s="80">
        <f>+K217+L217</f>
        <v>98049000</v>
      </c>
      <c r="N217" s="171">
        <f>+M217/F217</f>
        <v>0.10198034219148161</v>
      </c>
      <c r="O217" s="15">
        <f>+F217-M217</f>
        <v>863401000</v>
      </c>
      <c r="Q217" s="6" t="str">
        <f t="shared" si="108"/>
        <v>OKE</v>
      </c>
      <c r="R217" s="6"/>
      <c r="S217" s="68"/>
    </row>
    <row r="218" spans="1:19" s="77" customFormat="1" ht="14.1" customHeight="1" x14ac:dyDescent="0.2">
      <c r="A218" s="74"/>
      <c r="B218" s="28"/>
      <c r="C218" s="83"/>
      <c r="D218" s="13"/>
      <c r="E218" s="14"/>
      <c r="F218" s="13"/>
      <c r="G218" s="78"/>
      <c r="H218" s="79"/>
      <c r="I218" s="15"/>
      <c r="J218" s="143"/>
      <c r="K218" s="78"/>
      <c r="L218" s="80"/>
      <c r="M218" s="80"/>
      <c r="N218" s="171"/>
      <c r="O218" s="15"/>
      <c r="Q218" s="6"/>
      <c r="R218" s="6"/>
      <c r="S218" s="68"/>
    </row>
    <row r="219" spans="1:19" ht="14.1" customHeight="1" x14ac:dyDescent="0.2">
      <c r="A219" s="81"/>
      <c r="B219" s="81"/>
      <c r="C219" s="23" t="s">
        <v>172</v>
      </c>
      <c r="D219" s="24">
        <f>SUM(D209:D217)</f>
        <v>5266450000</v>
      </c>
      <c r="E219" s="24">
        <f t="shared" ref="E219" si="120">SUM(E209:E217)</f>
        <v>0</v>
      </c>
      <c r="F219" s="141">
        <f>+D219+E219</f>
        <v>5266450000</v>
      </c>
      <c r="G219" s="24">
        <f>SUM(G209:G217)</f>
        <v>0</v>
      </c>
      <c r="H219" s="24">
        <f>SUM(H209:H217)</f>
        <v>653620406</v>
      </c>
      <c r="I219" s="24">
        <f>+G219+H219</f>
        <v>653620406</v>
      </c>
      <c r="J219" s="175">
        <f>+I219/F219</f>
        <v>0.12411024618101378</v>
      </c>
      <c r="K219" s="24">
        <f>SUM(K207:K218)</f>
        <v>0</v>
      </c>
      <c r="L219" s="24">
        <f>SUM(L209:L218)</f>
        <v>652945500</v>
      </c>
      <c r="M219" s="24">
        <f>+K219+L219</f>
        <v>652945500</v>
      </c>
      <c r="N219" s="172">
        <f>+M219/F219</f>
        <v>0.12398209420007786</v>
      </c>
      <c r="O219" s="24">
        <f>+F219-M219</f>
        <v>4613504500</v>
      </c>
      <c r="P219" s="77"/>
      <c r="Q219" s="6" t="str">
        <f t="shared" si="108"/>
        <v>OKE</v>
      </c>
      <c r="R219" s="6"/>
    </row>
    <row r="220" spans="1:19" ht="14.1" customHeight="1" x14ac:dyDescent="0.2">
      <c r="A220" s="74"/>
      <c r="B220" s="74"/>
      <c r="C220" s="76"/>
      <c r="D220" s="15"/>
      <c r="E220" s="15"/>
      <c r="F220" s="15"/>
      <c r="G220" s="80"/>
      <c r="H220" s="79"/>
      <c r="I220" s="80"/>
      <c r="J220" s="86"/>
      <c r="K220" s="80"/>
      <c r="L220" s="76"/>
      <c r="M220" s="76"/>
      <c r="N220" s="86"/>
      <c r="O220" s="10"/>
      <c r="P220" s="77"/>
      <c r="Q220" s="6"/>
      <c r="R220" s="6"/>
    </row>
    <row r="221" spans="1:19" ht="14.1" customHeight="1" x14ac:dyDescent="0.2">
      <c r="A221" s="206"/>
      <c r="B221" s="206" t="s">
        <v>173</v>
      </c>
      <c r="C221" s="255" t="s">
        <v>177</v>
      </c>
      <c r="D221" s="209">
        <f>D227</f>
        <v>1022000000</v>
      </c>
      <c r="E221" s="10">
        <f>E227</f>
        <v>0</v>
      </c>
      <c r="F221" s="10">
        <f>+D221+E221</f>
        <v>1022000000</v>
      </c>
      <c r="G221" s="10">
        <f>G227</f>
        <v>95983138</v>
      </c>
      <c r="H221" s="10">
        <f>H227</f>
        <v>116877897</v>
      </c>
      <c r="I221" s="10">
        <f>+G221+H221</f>
        <v>212861035</v>
      </c>
      <c r="J221" s="168">
        <f>+I221/F221</f>
        <v>0.20827889921722115</v>
      </c>
      <c r="K221" s="10">
        <f>K227</f>
        <v>95983138</v>
      </c>
      <c r="L221" s="10">
        <f>L227</f>
        <v>116877897</v>
      </c>
      <c r="M221" s="10">
        <f>+K221+L221</f>
        <v>212861035</v>
      </c>
      <c r="N221" s="169">
        <f>+M221/F221</f>
        <v>0.20827889921722115</v>
      </c>
      <c r="O221" s="10">
        <f>+F221-M221</f>
        <v>809138965</v>
      </c>
      <c r="P221" s="77"/>
      <c r="Q221" s="6" t="str">
        <f t="shared" si="108"/>
        <v>OKE</v>
      </c>
      <c r="R221" s="6"/>
    </row>
    <row r="222" spans="1:19" ht="14.1" customHeight="1" x14ac:dyDescent="0.2">
      <c r="A222" s="74"/>
      <c r="B222" s="74"/>
      <c r="C222" s="76"/>
      <c r="D222" s="15"/>
      <c r="E222" s="15"/>
      <c r="F222" s="15"/>
      <c r="G222" s="80"/>
      <c r="H222" s="79"/>
      <c r="I222" s="80"/>
      <c r="J222" s="86"/>
      <c r="K222" s="80"/>
      <c r="L222" s="76"/>
      <c r="M222" s="76"/>
      <c r="N222" s="86"/>
      <c r="O222" s="10"/>
      <c r="P222" s="77"/>
      <c r="Q222" s="6"/>
      <c r="R222" s="6"/>
    </row>
    <row r="223" spans="1:19" ht="14.1" customHeight="1" x14ac:dyDescent="0.2">
      <c r="A223" s="74">
        <v>8</v>
      </c>
      <c r="B223" s="28" t="s">
        <v>174</v>
      </c>
      <c r="C223" s="27" t="s">
        <v>60</v>
      </c>
      <c r="D223" s="13">
        <v>22000000</v>
      </c>
      <c r="E223" s="14"/>
      <c r="F223" s="13">
        <f>+D223+E223</f>
        <v>22000000</v>
      </c>
      <c r="G223" s="80">
        <f>+jan!I224</f>
        <v>0</v>
      </c>
      <c r="H223" s="79">
        <v>1100000</v>
      </c>
      <c r="I223" s="15">
        <f t="shared" ref="I223:I225" si="121">+G223+H223</f>
        <v>1100000</v>
      </c>
      <c r="J223" s="143">
        <f>+I223/F223</f>
        <v>0.05</v>
      </c>
      <c r="K223" s="80">
        <f>+jan!M224</f>
        <v>0</v>
      </c>
      <c r="L223" s="80">
        <v>1100000</v>
      </c>
      <c r="M223" s="80">
        <f t="shared" ref="M223" si="122">+K223+L223</f>
        <v>1100000</v>
      </c>
      <c r="N223" s="171">
        <f>+M223/F223</f>
        <v>0.05</v>
      </c>
      <c r="O223" s="15">
        <f>+F223-M223</f>
        <v>20900000</v>
      </c>
      <c r="P223" s="77"/>
      <c r="Q223" s="6" t="str">
        <f t="shared" si="108"/>
        <v>OKE</v>
      </c>
      <c r="R223" s="6"/>
    </row>
    <row r="224" spans="1:19" ht="14.1" customHeight="1" x14ac:dyDescent="0.2">
      <c r="A224" s="74"/>
      <c r="B224" s="28"/>
      <c r="C224" s="27"/>
      <c r="D224" s="13"/>
      <c r="E224" s="14"/>
      <c r="F224" s="13"/>
      <c r="G224" s="78"/>
      <c r="H224" s="79"/>
      <c r="I224" s="15"/>
      <c r="J224" s="143"/>
      <c r="K224" s="78"/>
      <c r="L224" s="80"/>
      <c r="M224" s="80"/>
      <c r="N224" s="171"/>
      <c r="O224" s="15"/>
      <c r="P224" s="77"/>
      <c r="Q224" s="6"/>
      <c r="R224" s="6"/>
    </row>
    <row r="225" spans="1:18" ht="14.1" customHeight="1" x14ac:dyDescent="0.2">
      <c r="A225" s="74">
        <v>9</v>
      </c>
      <c r="B225" s="28" t="s">
        <v>175</v>
      </c>
      <c r="C225" s="276" t="s">
        <v>176</v>
      </c>
      <c r="D225" s="13">
        <v>1000000000</v>
      </c>
      <c r="E225" s="14"/>
      <c r="F225" s="13">
        <f>+D225+E225</f>
        <v>1000000000</v>
      </c>
      <c r="G225" s="80">
        <f>+jan!I226</f>
        <v>95983138</v>
      </c>
      <c r="H225" s="79">
        <f>11063300+79905897+2811700+9270000+12727000</f>
        <v>115777897</v>
      </c>
      <c r="I225" s="15">
        <f t="shared" si="121"/>
        <v>211761035</v>
      </c>
      <c r="J225" s="143">
        <f>+I225/F225</f>
        <v>0.21176103499999999</v>
      </c>
      <c r="K225" s="80">
        <f>+jan!M226</f>
        <v>95983138</v>
      </c>
      <c r="L225" s="80">
        <f>11063300+79905897+2811700+9270000+12727000</f>
        <v>115777897</v>
      </c>
      <c r="M225" s="80">
        <f>+K225+L225</f>
        <v>211761035</v>
      </c>
      <c r="N225" s="171">
        <f>+M225/F225</f>
        <v>0.21176103499999999</v>
      </c>
      <c r="O225" s="15">
        <f>+F225-M225</f>
        <v>788238965</v>
      </c>
      <c r="P225" s="77"/>
      <c r="Q225" s="6" t="str">
        <f>IF(M225&lt;=I225,"OKE","Salah")</f>
        <v>OKE</v>
      </c>
      <c r="R225" s="6"/>
    </row>
    <row r="226" spans="1:18" ht="14.1" customHeight="1" x14ac:dyDescent="0.2">
      <c r="A226" s="74"/>
      <c r="B226" s="29"/>
      <c r="C226" s="27"/>
      <c r="D226" s="13"/>
      <c r="E226" s="14"/>
      <c r="F226" s="13"/>
      <c r="G226" s="78"/>
      <c r="H226" s="79"/>
      <c r="I226" s="15"/>
      <c r="J226" s="143"/>
      <c r="K226" s="80"/>
      <c r="L226" s="80"/>
      <c r="M226" s="80"/>
      <c r="N226" s="171"/>
      <c r="O226" s="15"/>
      <c r="P226" s="77"/>
      <c r="Q226" s="6"/>
      <c r="R226" s="6"/>
    </row>
    <row r="227" spans="1:18" ht="14.1" customHeight="1" x14ac:dyDescent="0.2">
      <c r="A227" s="81"/>
      <c r="B227" s="81"/>
      <c r="C227" s="23" t="s">
        <v>172</v>
      </c>
      <c r="D227" s="24">
        <f>+D223+D225</f>
        <v>1022000000</v>
      </c>
      <c r="E227" s="24">
        <f>SUM(E223:E226)</f>
        <v>0</v>
      </c>
      <c r="F227" s="141">
        <f>SUM(F223:F226)</f>
        <v>1022000000</v>
      </c>
      <c r="G227" s="24">
        <f t="shared" ref="G227:H227" si="123">+G223+G225</f>
        <v>95983138</v>
      </c>
      <c r="H227" s="24">
        <f t="shared" si="123"/>
        <v>116877897</v>
      </c>
      <c r="I227" s="24">
        <f>+G227+H227</f>
        <v>212861035</v>
      </c>
      <c r="J227" s="175">
        <f>+I227/F227</f>
        <v>0.20827889921722115</v>
      </c>
      <c r="K227" s="24">
        <f>SUM(K223:K226)</f>
        <v>95983138</v>
      </c>
      <c r="L227" s="24">
        <f>SUM(L223:L226)</f>
        <v>116877897</v>
      </c>
      <c r="M227" s="24">
        <f>+K227+L227</f>
        <v>212861035</v>
      </c>
      <c r="N227" s="172">
        <f>+M227/F227</f>
        <v>0.20827889921722115</v>
      </c>
      <c r="O227" s="24">
        <f>+F227-M227</f>
        <v>809138965</v>
      </c>
      <c r="P227" s="77"/>
      <c r="Q227" s="6" t="str">
        <f t="shared" si="108"/>
        <v>OKE</v>
      </c>
      <c r="R227" s="6"/>
    </row>
    <row r="228" spans="1:18" ht="15" customHeight="1" x14ac:dyDescent="0.2">
      <c r="A228" s="87"/>
      <c r="B228" s="87"/>
      <c r="C228" s="148"/>
      <c r="D228" s="149"/>
      <c r="E228" s="149"/>
      <c r="F228" s="149"/>
      <c r="G228" s="149"/>
      <c r="H228" s="149"/>
      <c r="I228" s="149"/>
      <c r="J228" s="177"/>
      <c r="K228" s="149"/>
      <c r="L228" s="149"/>
      <c r="M228" s="149"/>
      <c r="N228" s="174"/>
      <c r="O228" s="149"/>
      <c r="P228" s="77"/>
      <c r="Q228" s="6"/>
      <c r="R228" s="6"/>
    </row>
    <row r="229" spans="1:18" ht="15" customHeight="1" x14ac:dyDescent="0.2">
      <c r="A229" s="206"/>
      <c r="B229" s="206" t="s">
        <v>179</v>
      </c>
      <c r="C229" s="282" t="s">
        <v>178</v>
      </c>
      <c r="D229" s="209">
        <f>+D237</f>
        <v>2410000000</v>
      </c>
      <c r="E229" s="10">
        <f t="shared" ref="E229:F229" si="124">+E237</f>
        <v>0</v>
      </c>
      <c r="F229" s="10">
        <f t="shared" si="124"/>
        <v>2410000000</v>
      </c>
      <c r="G229" s="10">
        <f>+G237</f>
        <v>0</v>
      </c>
      <c r="H229" s="11">
        <f>+H237</f>
        <v>129224603</v>
      </c>
      <c r="I229" s="10">
        <f>+G229+H229</f>
        <v>129224603</v>
      </c>
      <c r="J229" s="168">
        <f>+I229/F229</f>
        <v>5.3620167219917012E-2</v>
      </c>
      <c r="K229" s="10">
        <f>+K237</f>
        <v>0</v>
      </c>
      <c r="L229" s="10">
        <f>+L237</f>
        <v>129189603</v>
      </c>
      <c r="M229" s="10">
        <f>+K229+L229</f>
        <v>129189603</v>
      </c>
      <c r="N229" s="169">
        <f>+M229/F229</f>
        <v>5.3605644398340251E-2</v>
      </c>
      <c r="O229" s="10">
        <f>+F229-M229</f>
        <v>2280810397</v>
      </c>
      <c r="P229" s="77"/>
      <c r="Q229" s="6" t="str">
        <f t="shared" ref="Q229:Q237" si="125">IF(M229&lt;=I229,"OKE","Salah")</f>
        <v>OKE</v>
      </c>
      <c r="R229" s="6"/>
    </row>
    <row r="230" spans="1:18" ht="15" customHeight="1" x14ac:dyDescent="0.2">
      <c r="A230" s="74"/>
      <c r="B230" s="74"/>
      <c r="C230" s="76"/>
      <c r="D230" s="15"/>
      <c r="E230" s="15"/>
      <c r="F230" s="15"/>
      <c r="G230" s="80"/>
      <c r="H230" s="79"/>
      <c r="I230" s="80"/>
      <c r="J230" s="86"/>
      <c r="K230" s="80"/>
      <c r="L230" s="76"/>
      <c r="M230" s="76"/>
      <c r="N230" s="86"/>
      <c r="O230" s="10"/>
      <c r="P230" s="77"/>
      <c r="Q230" s="6"/>
      <c r="R230" s="6"/>
    </row>
    <row r="231" spans="1:18" ht="28.5" customHeight="1" x14ac:dyDescent="0.2">
      <c r="A231" s="74">
        <v>10</v>
      </c>
      <c r="B231" s="207" t="s">
        <v>181</v>
      </c>
      <c r="C231" s="276" t="s">
        <v>180</v>
      </c>
      <c r="D231" s="213">
        <v>910000000</v>
      </c>
      <c r="E231" s="14"/>
      <c r="F231" s="13">
        <f>+D231+E231</f>
        <v>910000000</v>
      </c>
      <c r="G231" s="80">
        <f>+jan!I232</f>
        <v>0</v>
      </c>
      <c r="H231" s="79">
        <f>24443785+39852318</f>
        <v>64296103</v>
      </c>
      <c r="I231" s="15">
        <f>+G231+H231</f>
        <v>64296103</v>
      </c>
      <c r="J231" s="143">
        <f>+I231/F231</f>
        <v>7.0655058241758245E-2</v>
      </c>
      <c r="K231" s="80">
        <f>+jan!M232</f>
        <v>0</v>
      </c>
      <c r="L231" s="80">
        <f>24443785+39852318</f>
        <v>64296103</v>
      </c>
      <c r="M231" s="80">
        <f>+K231+L231</f>
        <v>64296103</v>
      </c>
      <c r="N231" s="171">
        <f>+M231/F231</f>
        <v>7.0655058241758245E-2</v>
      </c>
      <c r="O231" s="15">
        <f>+F231-M231</f>
        <v>845703897</v>
      </c>
      <c r="P231" s="77"/>
      <c r="Q231" s="6" t="str">
        <f t="shared" ref="Q231" si="126">IF(M231&lt;=I231,"OKE","Salah")</f>
        <v>OKE</v>
      </c>
      <c r="R231" s="6"/>
    </row>
    <row r="232" spans="1:18" ht="15" customHeight="1" x14ac:dyDescent="0.2">
      <c r="A232" s="74"/>
      <c r="B232" s="74"/>
      <c r="C232" s="83"/>
      <c r="D232" s="15"/>
      <c r="E232" s="17"/>
      <c r="F232" s="15"/>
      <c r="G232" s="78"/>
      <c r="H232" s="79"/>
      <c r="I232" s="80"/>
      <c r="J232" s="86"/>
      <c r="K232" s="78"/>
      <c r="L232" s="76"/>
      <c r="M232" s="76"/>
      <c r="N232" s="86"/>
      <c r="O232" s="10"/>
      <c r="P232" s="77"/>
      <c r="Q232" s="6"/>
      <c r="R232" s="6"/>
    </row>
    <row r="233" spans="1:18" ht="30.75" customHeight="1" x14ac:dyDescent="0.2">
      <c r="A233" s="74">
        <v>11</v>
      </c>
      <c r="B233" s="220" t="s">
        <v>209</v>
      </c>
      <c r="C233" s="274" t="s">
        <v>208</v>
      </c>
      <c r="D233" s="13">
        <v>1000000000</v>
      </c>
      <c r="E233" s="14"/>
      <c r="F233" s="13">
        <f>E233+D233</f>
        <v>1000000000</v>
      </c>
      <c r="G233" s="80">
        <f>+jan!I234</f>
        <v>0</v>
      </c>
      <c r="H233" s="79">
        <v>43038500</v>
      </c>
      <c r="I233" s="15">
        <f>+G233+H233</f>
        <v>43038500</v>
      </c>
      <c r="J233" s="143">
        <f>+I233/F233</f>
        <v>4.30385E-2</v>
      </c>
      <c r="K233" s="80">
        <f>+jan!M234</f>
        <v>0</v>
      </c>
      <c r="L233" s="80">
        <v>43026000</v>
      </c>
      <c r="M233" s="80">
        <f>+K233+L233</f>
        <v>43026000</v>
      </c>
      <c r="N233" s="171">
        <f>+M233/D233</f>
        <v>4.3026000000000002E-2</v>
      </c>
      <c r="O233" s="15">
        <f>+F233-M233</f>
        <v>956974000</v>
      </c>
      <c r="P233" s="83"/>
      <c r="Q233" s="6" t="str">
        <f t="shared" ref="Q233" si="127">IF(M233&lt;=I233,"OKE","Salah")</f>
        <v>OKE</v>
      </c>
      <c r="R233" s="6"/>
    </row>
    <row r="234" spans="1:18" ht="15" customHeight="1" x14ac:dyDescent="0.2">
      <c r="A234" s="74"/>
      <c r="B234" s="218"/>
      <c r="C234" s="25"/>
      <c r="D234" s="13"/>
      <c r="E234" s="14"/>
      <c r="F234" s="13"/>
      <c r="G234" s="78"/>
      <c r="H234" s="79"/>
      <c r="I234" s="15"/>
      <c r="J234" s="143"/>
      <c r="K234" s="78"/>
      <c r="L234" s="80"/>
      <c r="M234" s="80"/>
      <c r="N234" s="171"/>
      <c r="O234" s="15"/>
      <c r="P234" s="83"/>
      <c r="Q234" s="6"/>
      <c r="R234" s="6"/>
    </row>
    <row r="235" spans="1:18" ht="30.75" customHeight="1" x14ac:dyDescent="0.2">
      <c r="A235" s="74">
        <v>12</v>
      </c>
      <c r="B235" s="220" t="s">
        <v>211</v>
      </c>
      <c r="C235" s="275" t="s">
        <v>210</v>
      </c>
      <c r="D235" s="15">
        <v>500000000</v>
      </c>
      <c r="E235" s="15"/>
      <c r="F235" s="13">
        <f>E235+D235</f>
        <v>500000000</v>
      </c>
      <c r="G235" s="80">
        <f>+jan!I236</f>
        <v>0</v>
      </c>
      <c r="H235" s="79">
        <v>21890000</v>
      </c>
      <c r="I235" s="15">
        <f>+G235+H235</f>
        <v>21890000</v>
      </c>
      <c r="J235" s="143">
        <f>+I235/F235</f>
        <v>4.3779999999999999E-2</v>
      </c>
      <c r="K235" s="80">
        <f>+jan!M236</f>
        <v>0</v>
      </c>
      <c r="L235" s="80">
        <v>21867500</v>
      </c>
      <c r="M235" s="80">
        <f>+K235+L235</f>
        <v>21867500</v>
      </c>
      <c r="N235" s="171">
        <f>+M235/D235</f>
        <v>4.3735000000000003E-2</v>
      </c>
      <c r="O235" s="15">
        <f>+F235-M235</f>
        <v>478132500</v>
      </c>
      <c r="P235" s="83"/>
      <c r="Q235" s="6" t="str">
        <f t="shared" ref="Q235" si="128">IF(M235&lt;=I235,"OKE","Salah")</f>
        <v>OKE</v>
      </c>
      <c r="R235" s="6"/>
    </row>
    <row r="236" spans="1:18" ht="15" customHeight="1" x14ac:dyDescent="0.2">
      <c r="A236" s="74"/>
      <c r="B236" s="74"/>
      <c r="C236" s="83"/>
      <c r="D236" s="15"/>
      <c r="E236" s="17"/>
      <c r="F236" s="15"/>
      <c r="G236" s="78"/>
      <c r="H236" s="79"/>
      <c r="I236" s="80"/>
      <c r="J236" s="86"/>
      <c r="K236" s="78"/>
      <c r="L236" s="76"/>
      <c r="M236" s="76"/>
      <c r="N236" s="86"/>
      <c r="O236" s="10"/>
      <c r="P236" s="77"/>
      <c r="Q236" s="6"/>
      <c r="R236" s="6"/>
    </row>
    <row r="237" spans="1:18" ht="18.75" customHeight="1" x14ac:dyDescent="0.2">
      <c r="A237" s="139"/>
      <c r="B237" s="139"/>
      <c r="C237" s="140" t="s">
        <v>172</v>
      </c>
      <c r="D237" s="141">
        <f>+D231+D233+D235</f>
        <v>2410000000</v>
      </c>
      <c r="E237" s="141">
        <f>+E231</f>
        <v>0</v>
      </c>
      <c r="F237" s="141">
        <f>+D237+E237</f>
        <v>2410000000</v>
      </c>
      <c r="G237" s="141">
        <f>+G231+G233+G235</f>
        <v>0</v>
      </c>
      <c r="H237" s="141">
        <f>+H231+H233+H235</f>
        <v>129224603</v>
      </c>
      <c r="I237" s="141">
        <f>+G237+H237</f>
        <v>129224603</v>
      </c>
      <c r="J237" s="176">
        <f>+I237/F237</f>
        <v>5.3620167219917012E-2</v>
      </c>
      <c r="K237" s="141">
        <f>+K231+K233+K235</f>
        <v>0</v>
      </c>
      <c r="L237" s="141">
        <f>+L231+L233+L235</f>
        <v>129189603</v>
      </c>
      <c r="M237" s="141">
        <f>+K237+L237</f>
        <v>129189603</v>
      </c>
      <c r="N237" s="173">
        <f>+M237/F237</f>
        <v>5.3605644398340251E-2</v>
      </c>
      <c r="O237" s="141">
        <f>+F237-M237</f>
        <v>2280810397</v>
      </c>
      <c r="P237" s="77"/>
      <c r="Q237" s="6" t="str">
        <f t="shared" si="125"/>
        <v>OKE</v>
      </c>
      <c r="R237" s="6"/>
    </row>
    <row r="238" spans="1:18" ht="15.95" customHeight="1" x14ac:dyDescent="0.2">
      <c r="A238" s="87"/>
      <c r="B238" s="182"/>
      <c r="C238" s="4"/>
      <c r="D238" s="183"/>
      <c r="E238" s="183"/>
      <c r="F238" s="183"/>
      <c r="G238" s="256"/>
      <c r="H238" s="257"/>
      <c r="I238" s="184"/>
      <c r="J238" s="185"/>
      <c r="K238" s="256"/>
      <c r="L238" s="256"/>
      <c r="M238" s="256"/>
      <c r="N238" s="186"/>
      <c r="O238" s="184"/>
      <c r="P238" s="77"/>
      <c r="Q238" s="6"/>
      <c r="R238" s="6"/>
    </row>
    <row r="239" spans="1:18" ht="15.95" customHeight="1" x14ac:dyDescent="0.2">
      <c r="A239" s="74"/>
      <c r="B239" s="214" t="s">
        <v>304</v>
      </c>
      <c r="C239" s="208" t="s">
        <v>277</v>
      </c>
      <c r="D239" s="178">
        <f>+D241</f>
        <v>1017000000</v>
      </c>
      <c r="E239" s="14"/>
      <c r="F239" s="178">
        <f>+D239+E239</f>
        <v>1017000000</v>
      </c>
      <c r="G239" s="178">
        <f t="shared" ref="G239:H239" si="129">+G241+G248</f>
        <v>72037500</v>
      </c>
      <c r="H239" s="178">
        <f t="shared" si="129"/>
        <v>72037500</v>
      </c>
      <c r="I239" s="10">
        <f>+G239+H239</f>
        <v>144075000</v>
      </c>
      <c r="J239" s="168">
        <f>+I239/F239</f>
        <v>0.14166666666666666</v>
      </c>
      <c r="K239" s="178">
        <f t="shared" ref="K239:L239" si="130">+K241+K248</f>
        <v>72037500</v>
      </c>
      <c r="L239" s="178">
        <f t="shared" si="130"/>
        <v>72037500</v>
      </c>
      <c r="M239" s="180">
        <f>+K239+L239</f>
        <v>144075000</v>
      </c>
      <c r="N239" s="169">
        <f>+M239/F239</f>
        <v>0.14166666666666666</v>
      </c>
      <c r="O239" s="10">
        <f>+F239-M239</f>
        <v>872925000</v>
      </c>
      <c r="P239" s="83"/>
      <c r="Q239" s="6" t="str">
        <f t="shared" ref="Q239" si="131">IF(M239&lt;=I239,"OKE","Salah")</f>
        <v>OKE</v>
      </c>
      <c r="R239" s="6"/>
    </row>
    <row r="240" spans="1:18" ht="15.95" customHeight="1" x14ac:dyDescent="0.2">
      <c r="A240" s="74"/>
      <c r="B240" s="74"/>
      <c r="C240" s="76"/>
      <c r="D240" s="15"/>
      <c r="E240" s="15"/>
      <c r="F240" s="15"/>
      <c r="G240" s="80"/>
      <c r="H240" s="79"/>
      <c r="I240" s="80"/>
      <c r="J240" s="86"/>
      <c r="K240" s="80"/>
      <c r="L240" s="76"/>
      <c r="M240" s="76"/>
      <c r="N240" s="86"/>
      <c r="O240" s="10"/>
      <c r="P240" s="83"/>
      <c r="Q240" s="6"/>
      <c r="R240" s="6"/>
    </row>
    <row r="241" spans="1:19" ht="27" customHeight="1" x14ac:dyDescent="0.2">
      <c r="A241" s="74">
        <v>11</v>
      </c>
      <c r="B241" s="29" t="s">
        <v>303</v>
      </c>
      <c r="C241" s="219" t="s">
        <v>312</v>
      </c>
      <c r="D241" s="13">
        <v>1017000000</v>
      </c>
      <c r="E241" s="14"/>
      <c r="F241" s="13">
        <f>+D241+E241</f>
        <v>1017000000</v>
      </c>
      <c r="G241" s="80">
        <f>+jan!I242</f>
        <v>72037500</v>
      </c>
      <c r="H241" s="79">
        <v>72037500</v>
      </c>
      <c r="I241" s="15">
        <f>+G241+H241</f>
        <v>144075000</v>
      </c>
      <c r="J241" s="143">
        <f>+I241/F241</f>
        <v>0.14166666666666666</v>
      </c>
      <c r="K241" s="80">
        <f>+jan!M242</f>
        <v>72037500</v>
      </c>
      <c r="L241" s="80">
        <v>72037500</v>
      </c>
      <c r="M241" s="80">
        <f>+K241+L241</f>
        <v>144075000</v>
      </c>
      <c r="N241" s="171">
        <f>+M241/F241</f>
        <v>0.14166666666666666</v>
      </c>
      <c r="O241" s="15">
        <f>+F241-M241</f>
        <v>872925000</v>
      </c>
      <c r="P241" s="83"/>
      <c r="Q241" s="6" t="str">
        <f t="shared" ref="Q241" si="132">IF(M241&lt;=I241,"OKE","Salah")</f>
        <v>OKE</v>
      </c>
      <c r="R241" s="6"/>
    </row>
    <row r="242" spans="1:19" ht="16.5" customHeight="1" x14ac:dyDescent="0.2">
      <c r="A242" s="74"/>
      <c r="B242" s="29"/>
      <c r="C242" s="219"/>
      <c r="D242" s="13"/>
      <c r="E242" s="14"/>
      <c r="F242" s="13"/>
      <c r="G242" s="78"/>
      <c r="H242" s="79"/>
      <c r="I242" s="15"/>
      <c r="J242" s="143"/>
      <c r="K242" s="78"/>
      <c r="L242" s="80"/>
      <c r="M242" s="80"/>
      <c r="N242" s="171"/>
      <c r="O242" s="15"/>
      <c r="P242" s="77"/>
      <c r="Q242" s="6"/>
      <c r="R242" s="6"/>
    </row>
    <row r="243" spans="1:19" ht="17.25" customHeight="1" x14ac:dyDescent="0.2">
      <c r="A243" s="139"/>
      <c r="B243" s="139"/>
      <c r="C243" s="140" t="s">
        <v>172</v>
      </c>
      <c r="D243" s="141">
        <f>+D241</f>
        <v>1017000000</v>
      </c>
      <c r="E243" s="141">
        <f>+E241</f>
        <v>0</v>
      </c>
      <c r="F243" s="141">
        <f>+F241</f>
        <v>1017000000</v>
      </c>
      <c r="G243" s="141">
        <f t="shared" ref="G243:H243" si="133">+G241</f>
        <v>72037500</v>
      </c>
      <c r="H243" s="141">
        <f t="shared" si="133"/>
        <v>72037500</v>
      </c>
      <c r="I243" s="141">
        <f>+G243+H243</f>
        <v>144075000</v>
      </c>
      <c r="J243" s="176">
        <f>+I243/F243</f>
        <v>0.14166666666666666</v>
      </c>
      <c r="K243" s="141">
        <f>+K241</f>
        <v>72037500</v>
      </c>
      <c r="L243" s="141">
        <f>+L241</f>
        <v>72037500</v>
      </c>
      <c r="M243" s="141">
        <f>+K243+L243</f>
        <v>144075000</v>
      </c>
      <c r="N243" s="173">
        <f>+M243/F243</f>
        <v>0.14166666666666666</v>
      </c>
      <c r="O243" s="141">
        <f>+F243-M243</f>
        <v>872925000</v>
      </c>
      <c r="P243" s="77"/>
      <c r="Q243" s="6" t="str">
        <f t="shared" ref="Q243" si="134">IF(M243&lt;=I243,"OKE","Salah")</f>
        <v>OKE</v>
      </c>
      <c r="R243" s="6"/>
    </row>
    <row r="244" spans="1:19" ht="15.95" customHeight="1" x14ac:dyDescent="0.2">
      <c r="A244" s="74"/>
      <c r="B244" s="29"/>
      <c r="C244" s="8"/>
      <c r="D244" s="13"/>
      <c r="E244" s="13"/>
      <c r="F244" s="13"/>
      <c r="G244" s="80"/>
      <c r="H244" s="79"/>
      <c r="I244" s="15"/>
      <c r="J244" s="143"/>
      <c r="K244" s="80"/>
      <c r="L244" s="80"/>
      <c r="M244" s="80"/>
      <c r="N244" s="171"/>
      <c r="O244" s="15"/>
      <c r="P244" s="77"/>
      <c r="Q244" s="6"/>
      <c r="R244" s="6"/>
    </row>
    <row r="245" spans="1:19" ht="15.95" customHeight="1" x14ac:dyDescent="0.2">
      <c r="A245" s="7"/>
      <c r="B245" s="206" t="s">
        <v>183</v>
      </c>
      <c r="C245" s="289" t="s">
        <v>182</v>
      </c>
      <c r="D245" s="10">
        <f>+D247+D249</f>
        <v>2300000000</v>
      </c>
      <c r="E245" s="10">
        <f t="shared" ref="E245:F245" si="135">+E247+E249</f>
        <v>0</v>
      </c>
      <c r="F245" s="10">
        <f t="shared" si="135"/>
        <v>2300000000</v>
      </c>
      <c r="G245" s="10">
        <f t="shared" ref="G245:H245" si="136">+G251</f>
        <v>0</v>
      </c>
      <c r="H245" s="11">
        <f t="shared" si="136"/>
        <v>113184566</v>
      </c>
      <c r="I245" s="10">
        <f>+G245+H245</f>
        <v>113184566</v>
      </c>
      <c r="J245" s="168">
        <f>+I245/F245</f>
        <v>4.9210680869565218E-2</v>
      </c>
      <c r="K245" s="10">
        <f t="shared" ref="K245:L245" si="137">+K247+K249</f>
        <v>0</v>
      </c>
      <c r="L245" s="10">
        <f t="shared" si="137"/>
        <v>113184566</v>
      </c>
      <c r="M245" s="10">
        <f>+K245+L245</f>
        <v>113184566</v>
      </c>
      <c r="N245" s="169">
        <f>+M245/F245</f>
        <v>4.9210680869565218E-2</v>
      </c>
      <c r="O245" s="10">
        <f>+F245-M245</f>
        <v>2186815434</v>
      </c>
      <c r="P245" s="77"/>
      <c r="Q245" s="6" t="str">
        <f t="shared" ref="Q245:Q308" si="138">IF(M245&lt;=I245,"OKE","Salah")</f>
        <v>OKE</v>
      </c>
      <c r="R245" s="6"/>
    </row>
    <row r="246" spans="1:19" ht="15.95" customHeight="1" x14ac:dyDescent="0.2">
      <c r="A246" s="74"/>
      <c r="B246" s="74"/>
      <c r="C246" s="76"/>
      <c r="D246" s="15"/>
      <c r="E246" s="15"/>
      <c r="F246" s="15"/>
      <c r="G246" s="80"/>
      <c r="H246" s="79"/>
      <c r="I246" s="80"/>
      <c r="J246" s="86"/>
      <c r="K246" s="80"/>
      <c r="L246" s="76"/>
      <c r="M246" s="76"/>
      <c r="N246" s="86"/>
      <c r="O246" s="10"/>
      <c r="P246" s="77"/>
      <c r="Q246" s="6"/>
      <c r="R246" s="6"/>
    </row>
    <row r="247" spans="1:19" ht="15.95" customHeight="1" x14ac:dyDescent="0.2">
      <c r="A247" s="74">
        <v>12</v>
      </c>
      <c r="B247" s="207" t="s">
        <v>185</v>
      </c>
      <c r="C247" s="276" t="s">
        <v>184</v>
      </c>
      <c r="D247" s="13">
        <v>2100000000</v>
      </c>
      <c r="E247" s="14"/>
      <c r="F247" s="14">
        <f>+D247+E247</f>
        <v>2100000000</v>
      </c>
      <c r="G247" s="80">
        <f>+jan!I249</f>
        <v>0</v>
      </c>
      <c r="H247" s="79">
        <v>95779066</v>
      </c>
      <c r="I247" s="15">
        <f>+G247+H247</f>
        <v>95779066</v>
      </c>
      <c r="J247" s="143">
        <f>+I247/F247</f>
        <v>4.5609079047619044E-2</v>
      </c>
      <c r="K247" s="80">
        <f>+jan!M249</f>
        <v>0</v>
      </c>
      <c r="L247" s="80">
        <v>95779066</v>
      </c>
      <c r="M247" s="80">
        <f>+K247+L247</f>
        <v>95779066</v>
      </c>
      <c r="N247" s="171">
        <f>+M247/F247</f>
        <v>4.5609079047619044E-2</v>
      </c>
      <c r="O247" s="15">
        <f>+F247-M247</f>
        <v>2004220934</v>
      </c>
      <c r="P247" s="77"/>
      <c r="Q247" s="6" t="str">
        <f t="shared" si="138"/>
        <v>OKE</v>
      </c>
      <c r="R247" s="6"/>
    </row>
    <row r="248" spans="1:19" ht="15.95" customHeight="1" x14ac:dyDescent="0.2">
      <c r="A248" s="74"/>
      <c r="B248" s="29"/>
      <c r="C248" s="27"/>
      <c r="D248" s="13"/>
      <c r="E248" s="14"/>
      <c r="F248" s="14"/>
      <c r="G248" s="78"/>
      <c r="H248" s="79"/>
      <c r="I248" s="15"/>
      <c r="J248" s="143"/>
      <c r="K248" s="80"/>
      <c r="L248" s="80"/>
      <c r="M248" s="80"/>
      <c r="N248" s="171"/>
      <c r="O248" s="15"/>
      <c r="P248" s="77"/>
      <c r="Q248" s="6"/>
      <c r="R248" s="6"/>
    </row>
    <row r="249" spans="1:19" ht="15.95" customHeight="1" x14ac:dyDescent="0.2">
      <c r="A249" s="74">
        <v>13</v>
      </c>
      <c r="B249" s="207" t="s">
        <v>186</v>
      </c>
      <c r="C249" s="276" t="s">
        <v>187</v>
      </c>
      <c r="D249" s="213">
        <v>200000000</v>
      </c>
      <c r="E249" s="14"/>
      <c r="F249" s="14">
        <f>+D249+E249</f>
        <v>200000000</v>
      </c>
      <c r="G249" s="80">
        <f>+jan!I251</f>
        <v>0</v>
      </c>
      <c r="H249" s="79">
        <v>17405500</v>
      </c>
      <c r="I249" s="15">
        <f>+G249+H249</f>
        <v>17405500</v>
      </c>
      <c r="J249" s="143">
        <f>+I249/F249</f>
        <v>8.7027499999999994E-2</v>
      </c>
      <c r="K249" s="80">
        <f>+jan!M251</f>
        <v>0</v>
      </c>
      <c r="L249" s="80">
        <v>17405500</v>
      </c>
      <c r="M249" s="80">
        <f>+K249+L249</f>
        <v>17405500</v>
      </c>
      <c r="N249" s="171">
        <f>+M249/F249</f>
        <v>8.7027499999999994E-2</v>
      </c>
      <c r="O249" s="15">
        <f>+F249-M249</f>
        <v>182594500</v>
      </c>
      <c r="P249" s="77"/>
      <c r="Q249" s="6" t="str">
        <f t="shared" ref="Q249" si="139">IF(M249&lt;=I249,"OKE","Salah")</f>
        <v>OKE</v>
      </c>
      <c r="R249" s="6"/>
    </row>
    <row r="250" spans="1:19" ht="15.95" customHeight="1" x14ac:dyDescent="0.2">
      <c r="A250" s="74"/>
      <c r="B250" s="74"/>
      <c r="C250" s="76"/>
      <c r="D250" s="15"/>
      <c r="E250" s="15"/>
      <c r="F250" s="15"/>
      <c r="G250" s="80"/>
      <c r="H250" s="79"/>
      <c r="I250" s="80"/>
      <c r="J250" s="86"/>
      <c r="K250" s="80"/>
      <c r="L250" s="76"/>
      <c r="M250" s="76"/>
      <c r="N250" s="86"/>
      <c r="O250" s="10"/>
      <c r="P250" s="77"/>
      <c r="Q250" s="6"/>
      <c r="R250" s="6"/>
    </row>
    <row r="251" spans="1:19" ht="15.95" customHeight="1" x14ac:dyDescent="0.2">
      <c r="A251" s="139"/>
      <c r="B251" s="139"/>
      <c r="C251" s="140" t="s">
        <v>113</v>
      </c>
      <c r="D251" s="141">
        <f>SUM(D247:D249)</f>
        <v>2300000000</v>
      </c>
      <c r="E251" s="141">
        <f t="shared" ref="E251" si="140">SUM(E247:E249)</f>
        <v>0</v>
      </c>
      <c r="F251" s="141">
        <f>+D251+E251</f>
        <v>2300000000</v>
      </c>
      <c r="G251" s="141">
        <f>SUM(G247:G249)</f>
        <v>0</v>
      </c>
      <c r="H251" s="141">
        <f>SUM(H247:H249)</f>
        <v>113184566</v>
      </c>
      <c r="I251" s="141">
        <f>+G251+H251</f>
        <v>113184566</v>
      </c>
      <c r="J251" s="176">
        <f>+I251/F251</f>
        <v>4.9210680869565218E-2</v>
      </c>
      <c r="K251" s="141">
        <f t="shared" ref="K251:L251" si="141">SUM(K247:K249)</f>
        <v>0</v>
      </c>
      <c r="L251" s="141">
        <f t="shared" si="141"/>
        <v>113184566</v>
      </c>
      <c r="M251" s="141">
        <f>+M247</f>
        <v>95779066</v>
      </c>
      <c r="N251" s="173">
        <f>+M251/F251</f>
        <v>4.1643072173913047E-2</v>
      </c>
      <c r="O251" s="141">
        <f>+D251-M251</f>
        <v>2204220934</v>
      </c>
      <c r="P251" s="77"/>
      <c r="Q251" s="6" t="str">
        <f t="shared" si="138"/>
        <v>OKE</v>
      </c>
      <c r="R251" s="6"/>
    </row>
    <row r="252" spans="1:19" ht="8.25" customHeight="1" x14ac:dyDescent="0.2">
      <c r="A252" s="74"/>
      <c r="B252" s="74"/>
      <c r="C252" s="9"/>
      <c r="D252" s="10"/>
      <c r="E252" s="10"/>
      <c r="F252" s="10"/>
      <c r="G252" s="10"/>
      <c r="H252" s="10"/>
      <c r="I252" s="10"/>
      <c r="J252" s="168"/>
      <c r="K252" s="10"/>
      <c r="L252" s="10"/>
      <c r="M252" s="10"/>
      <c r="N252" s="169"/>
      <c r="O252" s="10"/>
      <c r="P252" s="77"/>
      <c r="Q252" s="6"/>
      <c r="R252" s="6"/>
    </row>
    <row r="253" spans="1:19" ht="15.95" customHeight="1" x14ac:dyDescent="0.2">
      <c r="A253" s="74"/>
      <c r="B253" s="74"/>
      <c r="C253" s="9"/>
      <c r="D253" s="10"/>
      <c r="E253" s="10"/>
      <c r="F253" s="10"/>
      <c r="G253" s="10"/>
      <c r="H253" s="11"/>
      <c r="I253" s="10"/>
      <c r="J253" s="176"/>
      <c r="K253" s="10"/>
      <c r="L253" s="10"/>
      <c r="M253" s="10"/>
      <c r="N253" s="169"/>
      <c r="O253" s="10"/>
      <c r="P253" s="77"/>
      <c r="Q253" s="6"/>
      <c r="R253" s="6"/>
    </row>
    <row r="254" spans="1:19" ht="11.25" customHeight="1" x14ac:dyDescent="0.2">
      <c r="A254" s="388"/>
      <c r="B254" s="388"/>
      <c r="C254" s="395" t="s">
        <v>76</v>
      </c>
      <c r="D254" s="364">
        <f>+D205+D219+D227+D237+D243+D251</f>
        <v>12180425000</v>
      </c>
      <c r="E254" s="364">
        <f>+E219+E227+E237+E251</f>
        <v>0</v>
      </c>
      <c r="F254" s="364">
        <f>+D254+E254</f>
        <v>12180425000</v>
      </c>
      <c r="G254" s="364">
        <f>+G205+G219+G227+G237+G243+G251</f>
        <v>168020638</v>
      </c>
      <c r="H254" s="364">
        <f>+H205+H219+H227+H237+H243+H251</f>
        <v>1084944972</v>
      </c>
      <c r="I254" s="364">
        <f>+G254+H254</f>
        <v>1252965610</v>
      </c>
      <c r="J254" s="408">
        <f>+I254/F254</f>
        <v>0.1028671503662639</v>
      </c>
      <c r="K254" s="364">
        <f>+K205+K219+K227+K237+K243+K251</f>
        <v>168020638</v>
      </c>
      <c r="L254" s="364">
        <f>+L205+L219+L227+L237+L243+L251</f>
        <v>1084235066</v>
      </c>
      <c r="M254" s="364">
        <f>+K254+L254</f>
        <v>1252255704</v>
      </c>
      <c r="N254" s="366">
        <f>+M254/F254</f>
        <v>0.10280886783507144</v>
      </c>
      <c r="O254" s="364">
        <f>+F254-M254</f>
        <v>10928169296</v>
      </c>
      <c r="P254" s="77"/>
      <c r="Q254" s="6" t="str">
        <f t="shared" si="138"/>
        <v>OKE</v>
      </c>
      <c r="R254" s="6"/>
    </row>
    <row r="255" spans="1:19" ht="15" thickBot="1" x14ac:dyDescent="0.25">
      <c r="A255" s="389"/>
      <c r="B255" s="389"/>
      <c r="C255" s="396"/>
      <c r="D255" s="396"/>
      <c r="E255" s="396"/>
      <c r="F255" s="396"/>
      <c r="G255" s="396"/>
      <c r="H255" s="396"/>
      <c r="I255" s="396"/>
      <c r="J255" s="409"/>
      <c r="K255" s="396"/>
      <c r="L255" s="396"/>
      <c r="M255" s="396"/>
      <c r="N255" s="367"/>
      <c r="O255" s="396"/>
      <c r="P255" s="83"/>
      <c r="Q255" s="6" t="str">
        <f t="shared" si="138"/>
        <v>OKE</v>
      </c>
      <c r="R255" s="6"/>
      <c r="S255" s="309">
        <f>+S463+S466+Q474</f>
        <v>773208120</v>
      </c>
    </row>
    <row r="256" spans="1:19" ht="15" hidden="1" thickBot="1" x14ac:dyDescent="0.25">
      <c r="B256" s="88"/>
      <c r="C256" s="77"/>
      <c r="D256" s="31"/>
      <c r="E256" s="31"/>
      <c r="F256" s="31"/>
      <c r="G256" s="179"/>
      <c r="H256" s="258"/>
      <c r="I256" s="179"/>
      <c r="J256" s="179"/>
      <c r="K256" s="179"/>
      <c r="L256" s="77"/>
      <c r="M256" s="77"/>
      <c r="N256" s="77"/>
      <c r="O256" s="77"/>
      <c r="P256" s="77"/>
      <c r="Q256" s="6" t="str">
        <f t="shared" si="138"/>
        <v>OKE</v>
      </c>
      <c r="R256" s="6"/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8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8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8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8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8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8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8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8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8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8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38"/>
        <v>OKE</v>
      </c>
      <c r="R267" s="6"/>
    </row>
    <row r="268" spans="1:18" ht="14.1" hidden="1" customHeight="1" x14ac:dyDescent="0.2">
      <c r="A268" s="410" t="s">
        <v>0</v>
      </c>
      <c r="B268" s="410"/>
      <c r="C268" s="410"/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77"/>
      <c r="Q268" s="6" t="str">
        <f t="shared" si="138"/>
        <v>OKE</v>
      </c>
      <c r="R268" s="6"/>
    </row>
    <row r="269" spans="1:18" ht="14.1" hidden="1" customHeight="1" x14ac:dyDescent="0.2">
      <c r="A269" s="410" t="s">
        <v>130</v>
      </c>
      <c r="B269" s="410"/>
      <c r="C269" s="410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77"/>
      <c r="Q269" s="6" t="str">
        <f t="shared" si="138"/>
        <v>OKE</v>
      </c>
      <c r="R269" s="6"/>
    </row>
    <row r="270" spans="1:18" ht="14.1" hidden="1" customHeight="1" x14ac:dyDescent="0.2">
      <c r="A270" s="407" t="s">
        <v>131</v>
      </c>
      <c r="B270" s="407"/>
      <c r="C270" s="407"/>
      <c r="D270" s="407"/>
      <c r="E270" s="407"/>
      <c r="F270" s="407"/>
      <c r="G270" s="407"/>
      <c r="H270" s="407"/>
      <c r="I270" s="407"/>
      <c r="J270" s="407"/>
      <c r="K270" s="407"/>
      <c r="L270" s="407"/>
      <c r="M270" s="407"/>
      <c r="N270" s="407"/>
      <c r="O270" s="407"/>
      <c r="P270" s="77"/>
      <c r="Q270" s="6" t="str">
        <f t="shared" si="138"/>
        <v>OKE</v>
      </c>
      <c r="R270" s="6"/>
    </row>
    <row r="271" spans="1:18" ht="14.1" hidden="1" customHeight="1" x14ac:dyDescent="0.2">
      <c r="A271" s="361" t="s">
        <v>2</v>
      </c>
      <c r="B271" s="361" t="s">
        <v>3</v>
      </c>
      <c r="C271" s="361" t="s">
        <v>4</v>
      </c>
      <c r="D271" s="361" t="s">
        <v>5</v>
      </c>
      <c r="E271" s="197"/>
      <c r="F271" s="197"/>
      <c r="G271" s="358" t="s">
        <v>11</v>
      </c>
      <c r="H271" s="359"/>
      <c r="I271" s="359"/>
      <c r="J271" s="360"/>
      <c r="K271" s="358" t="s">
        <v>9</v>
      </c>
      <c r="L271" s="359"/>
      <c r="M271" s="359"/>
      <c r="N271" s="360"/>
      <c r="O271" s="361" t="s">
        <v>10</v>
      </c>
      <c r="P271" s="77"/>
      <c r="Q271" s="6" t="str">
        <f t="shared" si="138"/>
        <v>OKE</v>
      </c>
      <c r="R271" s="6"/>
    </row>
    <row r="272" spans="1:18" ht="14.1" hidden="1" customHeight="1" x14ac:dyDescent="0.2">
      <c r="A272" s="362"/>
      <c r="B272" s="362"/>
      <c r="C272" s="362"/>
      <c r="D272" s="362"/>
      <c r="E272" s="44"/>
      <c r="F272" s="44"/>
      <c r="G272" s="358" t="s">
        <v>74</v>
      </c>
      <c r="H272" s="359"/>
      <c r="I272" s="359"/>
      <c r="J272" s="360"/>
      <c r="K272" s="358" t="s">
        <v>12</v>
      </c>
      <c r="L272" s="359"/>
      <c r="M272" s="359"/>
      <c r="N272" s="360"/>
      <c r="O272" s="362"/>
      <c r="P272" s="77"/>
      <c r="Q272" s="6" t="str">
        <f t="shared" si="138"/>
        <v>OKE</v>
      </c>
      <c r="R272" s="6"/>
    </row>
    <row r="273" spans="1:18" ht="15" hidden="1" thickBot="1" x14ac:dyDescent="0.25">
      <c r="A273" s="363"/>
      <c r="B273" s="363"/>
      <c r="C273" s="363"/>
      <c r="D273" s="363"/>
      <c r="E273" s="196"/>
      <c r="F273" s="196"/>
      <c r="G273" s="144" t="s">
        <v>13</v>
      </c>
      <c r="H273" s="145" t="s">
        <v>14</v>
      </c>
      <c r="I273" s="144" t="s">
        <v>15</v>
      </c>
      <c r="J273" s="144" t="s">
        <v>16</v>
      </c>
      <c r="K273" s="144" t="s">
        <v>13</v>
      </c>
      <c r="L273" s="144" t="s">
        <v>14</v>
      </c>
      <c r="M273" s="144" t="s">
        <v>15</v>
      </c>
      <c r="N273" s="144" t="s">
        <v>16</v>
      </c>
      <c r="O273" s="363"/>
      <c r="P273" s="77"/>
      <c r="Q273" s="6" t="str">
        <f t="shared" si="138"/>
        <v>OKE</v>
      </c>
      <c r="R273" s="6"/>
    </row>
    <row r="274" spans="1:18" ht="15" hidden="1" thickBot="1" x14ac:dyDescent="0.25">
      <c r="A274" s="2">
        <v>1</v>
      </c>
      <c r="B274" s="2">
        <v>2</v>
      </c>
      <c r="C274" s="2">
        <v>3</v>
      </c>
      <c r="D274" s="2">
        <v>4</v>
      </c>
      <c r="E274" s="2"/>
      <c r="F274" s="2"/>
      <c r="G274" s="2">
        <v>5</v>
      </c>
      <c r="H274" s="145">
        <v>6</v>
      </c>
      <c r="I274" s="45" t="s">
        <v>77</v>
      </c>
      <c r="J274" s="45" t="s">
        <v>78</v>
      </c>
      <c r="K274" s="45">
        <v>9</v>
      </c>
      <c r="L274" s="45">
        <v>10</v>
      </c>
      <c r="M274" s="45" t="s">
        <v>79</v>
      </c>
      <c r="N274" s="45" t="s">
        <v>80</v>
      </c>
      <c r="O274" s="45" t="s">
        <v>81</v>
      </c>
      <c r="P274" s="77"/>
      <c r="Q274" s="6" t="str">
        <f t="shared" si="138"/>
        <v>OKE</v>
      </c>
      <c r="R274" s="6"/>
    </row>
    <row r="275" spans="1:18" ht="15" hidden="1" thickBot="1" x14ac:dyDescent="0.25">
      <c r="A275" s="74"/>
      <c r="B275" s="76"/>
      <c r="C275" s="76"/>
      <c r="D275" s="8"/>
      <c r="E275" s="8"/>
      <c r="F275" s="8"/>
      <c r="G275" s="76"/>
      <c r="H275" s="82"/>
      <c r="I275" s="76"/>
      <c r="J275" s="76"/>
      <c r="K275" s="76"/>
      <c r="L275" s="76"/>
      <c r="M275" s="76"/>
      <c r="N275" s="241"/>
      <c r="O275" s="241"/>
      <c r="P275" s="77"/>
      <c r="Q275" s="6" t="str">
        <f t="shared" si="138"/>
        <v>OKE</v>
      </c>
      <c r="R275" s="6"/>
    </row>
    <row r="276" spans="1:18" ht="15" hidden="1" thickBot="1" x14ac:dyDescent="0.25">
      <c r="A276" s="74"/>
      <c r="B276" s="76"/>
      <c r="C276" s="244" t="s">
        <v>82</v>
      </c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76"/>
      <c r="O276" s="76"/>
      <c r="P276" s="77"/>
      <c r="Q276" s="6" t="str">
        <f t="shared" si="138"/>
        <v>OKE</v>
      </c>
      <c r="R276" s="6"/>
    </row>
    <row r="277" spans="1:18" ht="15" hidden="1" thickBot="1" x14ac:dyDescent="0.25">
      <c r="A277" s="74"/>
      <c r="B277" s="76"/>
      <c r="C277" s="76"/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76"/>
      <c r="O277" s="76"/>
      <c r="P277" s="77"/>
      <c r="Q277" s="6" t="str">
        <f t="shared" si="138"/>
        <v>OKE</v>
      </c>
      <c r="R277" s="6"/>
    </row>
    <row r="278" spans="1:18" ht="15" hidden="1" thickBot="1" x14ac:dyDescent="0.25">
      <c r="A278" s="7" t="s">
        <v>22</v>
      </c>
      <c r="B278" s="7" t="s">
        <v>23</v>
      </c>
      <c r="C278" s="9" t="s">
        <v>45</v>
      </c>
      <c r="D278" s="10">
        <f>+D280+D285+D287+D289</f>
        <v>352575000</v>
      </c>
      <c r="E278" s="10"/>
      <c r="F278" s="10"/>
      <c r="G278" s="10">
        <f>+G280+G285+G287+G289</f>
        <v>130595000</v>
      </c>
      <c r="H278" s="11">
        <f>+H280+H285+H287+H289</f>
        <v>200225000</v>
      </c>
      <c r="I278" s="10">
        <f>+G278+H278</f>
        <v>330820000</v>
      </c>
      <c r="J278" s="12">
        <f>+I278/D278</f>
        <v>0.9382968162802241</v>
      </c>
      <c r="K278" s="10">
        <f>+K280+K285+K287+K289</f>
        <v>124051000</v>
      </c>
      <c r="L278" s="10">
        <f>+L280+L285+L287+L289</f>
        <v>199372700</v>
      </c>
      <c r="M278" s="10">
        <f>+K278+L278</f>
        <v>323423700</v>
      </c>
      <c r="N278" s="12">
        <f>+M278/D278</f>
        <v>0.91731886832588816</v>
      </c>
      <c r="O278" s="10">
        <f>+D278-I278</f>
        <v>21755000</v>
      </c>
      <c r="P278" s="77"/>
      <c r="Q278" s="6" t="str">
        <f t="shared" si="138"/>
        <v>OKE</v>
      </c>
      <c r="R278" s="6"/>
    </row>
    <row r="279" spans="1:18" ht="15" hidden="1" thickBot="1" x14ac:dyDescent="0.25">
      <c r="A279" s="74"/>
      <c r="B279" s="74"/>
      <c r="C279" s="76"/>
      <c r="D279" s="15"/>
      <c r="E279" s="15"/>
      <c r="F279" s="15"/>
      <c r="G279" s="80"/>
      <c r="H279" s="79"/>
      <c r="I279" s="80"/>
      <c r="J279" s="80"/>
      <c r="K279" s="80"/>
      <c r="L279" s="76"/>
      <c r="M279" s="76"/>
      <c r="N279" s="76"/>
      <c r="O279" s="76"/>
      <c r="P279" s="77"/>
      <c r="Q279" s="6" t="str">
        <f t="shared" si="138"/>
        <v>OKE</v>
      </c>
      <c r="R279" s="6"/>
    </row>
    <row r="280" spans="1:18" ht="15" hidden="1" thickBot="1" x14ac:dyDescent="0.25">
      <c r="A280" s="74">
        <v>1</v>
      </c>
      <c r="B280" s="75" t="s">
        <v>39</v>
      </c>
      <c r="C280" s="76" t="s">
        <v>50</v>
      </c>
      <c r="D280" s="15">
        <v>255000000</v>
      </c>
      <c r="E280" s="15"/>
      <c r="F280" s="15"/>
      <c r="G280" s="80">
        <v>68220000</v>
      </c>
      <c r="H280" s="79">
        <v>173020000</v>
      </c>
      <c r="I280" s="15">
        <f>+G280+H280</f>
        <v>241240000</v>
      </c>
      <c r="J280" s="16">
        <f>+I280/D280</f>
        <v>0.94603921568627447</v>
      </c>
      <c r="K280" s="80">
        <v>65540000</v>
      </c>
      <c r="L280" s="80">
        <v>174070000</v>
      </c>
      <c r="M280" s="80">
        <f>+K280+L280</f>
        <v>239610000</v>
      </c>
      <c r="N280" s="16">
        <f>+M280/D280</f>
        <v>0.93964705882352939</v>
      </c>
      <c r="O280" s="80">
        <f>+D280-I280</f>
        <v>13760000</v>
      </c>
      <c r="P280" s="77"/>
      <c r="Q280" s="6" t="str">
        <f t="shared" si="138"/>
        <v>OKE</v>
      </c>
      <c r="R280" s="6"/>
    </row>
    <row r="281" spans="1:18" ht="15" hidden="1" thickBot="1" x14ac:dyDescent="0.25">
      <c r="A281" s="74"/>
      <c r="B281" s="75"/>
      <c r="C281" s="76"/>
      <c r="D281" s="15"/>
      <c r="E281" s="15"/>
      <c r="F281" s="15"/>
      <c r="G281" s="80"/>
      <c r="H281" s="79"/>
      <c r="I281" s="15"/>
      <c r="J281" s="16"/>
      <c r="K281" s="80"/>
      <c r="L281" s="80"/>
      <c r="M281" s="80"/>
      <c r="N281" s="16"/>
      <c r="O281" s="80"/>
      <c r="P281" s="77"/>
      <c r="Q281" s="6" t="str">
        <f t="shared" si="138"/>
        <v>OKE</v>
      </c>
      <c r="R281" s="6"/>
    </row>
    <row r="282" spans="1:18" ht="15" hidden="1" thickBot="1" x14ac:dyDescent="0.25">
      <c r="A282" s="74"/>
      <c r="B282" s="18" t="s">
        <v>24</v>
      </c>
      <c r="C282" s="19" t="s">
        <v>25</v>
      </c>
      <c r="D282" s="20">
        <v>44275000</v>
      </c>
      <c r="E282" s="20"/>
      <c r="F282" s="20"/>
      <c r="G282" s="20">
        <v>33022500</v>
      </c>
      <c r="H282" s="21">
        <v>2527500</v>
      </c>
      <c r="I282" s="20">
        <f>+G282+H282</f>
        <v>35550000</v>
      </c>
      <c r="J282" s="22">
        <f>+I282/D282</f>
        <v>0.80293619424054208</v>
      </c>
      <c r="K282" s="20">
        <v>27217500</v>
      </c>
      <c r="L282" s="20">
        <v>0</v>
      </c>
      <c r="M282" s="20">
        <f>+K282+L282</f>
        <v>27217500</v>
      </c>
      <c r="N282" s="22">
        <f>+M282/D282</f>
        <v>0.61473743647656687</v>
      </c>
      <c r="O282" s="20">
        <f>+D282-I282</f>
        <v>8725000</v>
      </c>
      <c r="P282" s="77"/>
      <c r="Q282" s="6" t="str">
        <f t="shared" si="138"/>
        <v>OKE</v>
      </c>
      <c r="R282" s="6"/>
    </row>
    <row r="283" spans="1:18" ht="15" hidden="1" thickBot="1" x14ac:dyDescent="0.25">
      <c r="A283" s="74"/>
      <c r="B283" s="18" t="s">
        <v>24</v>
      </c>
      <c r="C283" s="19" t="s">
        <v>28</v>
      </c>
      <c r="D283" s="20">
        <v>-11700000</v>
      </c>
      <c r="E283" s="20"/>
      <c r="F283" s="20"/>
      <c r="G283" s="20">
        <v>0</v>
      </c>
      <c r="H283" s="21">
        <v>-8825000</v>
      </c>
      <c r="I283" s="20">
        <f>+G283+H283</f>
        <v>-8825000</v>
      </c>
      <c r="J283" s="22"/>
      <c r="K283" s="20"/>
      <c r="L283" s="20">
        <v>-8825000</v>
      </c>
      <c r="M283" s="20">
        <f>+K283+L283</f>
        <v>-8825000</v>
      </c>
      <c r="N283" s="22"/>
      <c r="O283" s="20"/>
      <c r="P283" s="77"/>
      <c r="Q283" s="6" t="str">
        <f t="shared" si="138"/>
        <v>OKE</v>
      </c>
      <c r="R283" s="6"/>
    </row>
    <row r="284" spans="1:18" ht="15" hidden="1" thickBot="1" x14ac:dyDescent="0.25">
      <c r="A284" s="74"/>
      <c r="B284" s="74"/>
      <c r="C284" s="76"/>
      <c r="D284" s="15"/>
      <c r="E284" s="15"/>
      <c r="F284" s="15"/>
      <c r="G284" s="80"/>
      <c r="H284" s="79"/>
      <c r="I284" s="80"/>
      <c r="J284" s="80"/>
      <c r="K284" s="80"/>
      <c r="L284" s="76"/>
      <c r="M284" s="76"/>
      <c r="N284" s="76"/>
      <c r="O284" s="76"/>
      <c r="P284" s="77"/>
      <c r="Q284" s="6" t="str">
        <f t="shared" si="138"/>
        <v>OKE</v>
      </c>
      <c r="R284" s="6"/>
    </row>
    <row r="285" spans="1:18" ht="15" hidden="1" thickBot="1" x14ac:dyDescent="0.25">
      <c r="A285" s="74">
        <v>2</v>
      </c>
      <c r="B285" s="75" t="s">
        <v>24</v>
      </c>
      <c r="C285" s="76" t="s">
        <v>25</v>
      </c>
      <c r="D285" s="15">
        <v>32575000</v>
      </c>
      <c r="E285" s="15"/>
      <c r="F285" s="15"/>
      <c r="G285" s="80">
        <v>26725000</v>
      </c>
      <c r="H285" s="79">
        <v>5055000</v>
      </c>
      <c r="I285" s="15">
        <f>+G285+H285</f>
        <v>31780000</v>
      </c>
      <c r="J285" s="16">
        <f>+I285/D285</f>
        <v>0.97559478127398314</v>
      </c>
      <c r="K285" s="80">
        <v>23622500</v>
      </c>
      <c r="L285" s="80">
        <v>7757500</v>
      </c>
      <c r="M285" s="80">
        <f>+K285+L285</f>
        <v>31380000</v>
      </c>
      <c r="N285" s="16">
        <f>+M285/D285</f>
        <v>0.96331542594013819</v>
      </c>
      <c r="O285" s="80">
        <f>+D285-I285</f>
        <v>795000</v>
      </c>
      <c r="P285" s="77"/>
      <c r="Q285" s="6" t="str">
        <f t="shared" si="138"/>
        <v>OKE</v>
      </c>
      <c r="R285" s="6"/>
    </row>
    <row r="286" spans="1:18" ht="15" hidden="1" thickBot="1" x14ac:dyDescent="0.25">
      <c r="A286" s="74"/>
      <c r="B286" s="74"/>
      <c r="C286" s="76"/>
      <c r="D286" s="15"/>
      <c r="E286" s="15"/>
      <c r="F286" s="15"/>
      <c r="G286" s="80"/>
      <c r="H286" s="79"/>
      <c r="I286" s="80"/>
      <c r="J286" s="80"/>
      <c r="K286" s="80"/>
      <c r="L286" s="93"/>
      <c r="M286" s="76"/>
      <c r="N286" s="76"/>
      <c r="O286" s="76"/>
      <c r="P286" s="77"/>
      <c r="Q286" s="6" t="str">
        <f t="shared" si="138"/>
        <v>OKE</v>
      </c>
      <c r="R286" s="6"/>
    </row>
    <row r="287" spans="1:18" ht="15" hidden="1" thickBot="1" x14ac:dyDescent="0.25">
      <c r="A287" s="74">
        <v>3</v>
      </c>
      <c r="B287" s="75" t="s">
        <v>46</v>
      </c>
      <c r="C287" s="76" t="s">
        <v>47</v>
      </c>
      <c r="D287" s="15">
        <v>25000000</v>
      </c>
      <c r="E287" s="15"/>
      <c r="F287" s="15"/>
      <c r="G287" s="80">
        <v>9400000</v>
      </c>
      <c r="H287" s="79">
        <v>15600000</v>
      </c>
      <c r="I287" s="15">
        <f>+G287+H287</f>
        <v>25000000</v>
      </c>
      <c r="J287" s="16">
        <f>+I287/D287</f>
        <v>1</v>
      </c>
      <c r="K287" s="80">
        <v>9400000</v>
      </c>
      <c r="L287" s="80">
        <v>11703700</v>
      </c>
      <c r="M287" s="80">
        <f>+K287+L287</f>
        <v>21103700</v>
      </c>
      <c r="N287" s="16">
        <f>+M287/D287</f>
        <v>0.84414800000000001</v>
      </c>
      <c r="O287" s="80">
        <f>+D287-I287</f>
        <v>0</v>
      </c>
      <c r="P287" s="77"/>
      <c r="Q287" s="6" t="str">
        <f t="shared" si="138"/>
        <v>OKE</v>
      </c>
      <c r="R287" s="6"/>
    </row>
    <row r="288" spans="1:18" ht="15" hidden="1" thickBot="1" x14ac:dyDescent="0.25">
      <c r="A288" s="74"/>
      <c r="B288" s="74"/>
      <c r="C288" s="76"/>
      <c r="D288" s="15"/>
      <c r="E288" s="15"/>
      <c r="F288" s="15"/>
      <c r="G288" s="80"/>
      <c r="H288" s="79"/>
      <c r="I288" s="80"/>
      <c r="J288" s="80"/>
      <c r="K288" s="80"/>
      <c r="L288" s="76"/>
      <c r="M288" s="76"/>
      <c r="N288" s="76"/>
      <c r="O288" s="76"/>
      <c r="P288" s="77"/>
      <c r="Q288" s="6" t="str">
        <f t="shared" si="138"/>
        <v>OKE</v>
      </c>
      <c r="R288" s="6"/>
    </row>
    <row r="289" spans="1:18" ht="15" hidden="1" thickBot="1" x14ac:dyDescent="0.25">
      <c r="A289" s="74">
        <v>4</v>
      </c>
      <c r="B289" s="75" t="s">
        <v>29</v>
      </c>
      <c r="C289" s="76" t="s">
        <v>30</v>
      </c>
      <c r="D289" s="15">
        <v>40000000</v>
      </c>
      <c r="E289" s="15"/>
      <c r="F289" s="15"/>
      <c r="G289" s="80">
        <v>26250000</v>
      </c>
      <c r="H289" s="79">
        <v>6550000</v>
      </c>
      <c r="I289" s="15">
        <f>+G289+H289</f>
        <v>32800000</v>
      </c>
      <c r="J289" s="16">
        <f>+I289/D289</f>
        <v>0.82</v>
      </c>
      <c r="K289" s="80">
        <v>25488500</v>
      </c>
      <c r="L289" s="80">
        <v>5841500</v>
      </c>
      <c r="M289" s="80">
        <f>+K289+L289</f>
        <v>31330000</v>
      </c>
      <c r="N289" s="16">
        <f>+M289/D289</f>
        <v>0.78325</v>
      </c>
      <c r="O289" s="80">
        <f>+D289-I289</f>
        <v>7200000</v>
      </c>
      <c r="P289" s="77"/>
      <c r="Q289" s="6" t="str">
        <f t="shared" si="138"/>
        <v>OKE</v>
      </c>
      <c r="R289" s="6"/>
    </row>
    <row r="290" spans="1:18" ht="15" hidden="1" thickBot="1" x14ac:dyDescent="0.25">
      <c r="A290" s="74"/>
      <c r="B290" s="74"/>
      <c r="C290" s="76"/>
      <c r="D290" s="15"/>
      <c r="E290" s="15"/>
      <c r="F290" s="15"/>
      <c r="G290" s="80"/>
      <c r="H290" s="79"/>
      <c r="I290" s="80"/>
      <c r="J290" s="80"/>
      <c r="K290" s="80"/>
      <c r="L290" s="76"/>
      <c r="M290" s="76"/>
      <c r="N290" s="76"/>
      <c r="O290" s="76"/>
      <c r="P290" s="77"/>
      <c r="Q290" s="6" t="str">
        <f t="shared" si="138"/>
        <v>OKE</v>
      </c>
      <c r="R290" s="6"/>
    </row>
    <row r="291" spans="1:18" ht="15" hidden="1" thickBot="1" x14ac:dyDescent="0.25">
      <c r="A291" s="74"/>
      <c r="B291" s="74"/>
      <c r="C291" s="9" t="s">
        <v>48</v>
      </c>
      <c r="D291" s="10">
        <f>+D289+D287+D285+D280</f>
        <v>352575000</v>
      </c>
      <c r="E291" s="10"/>
      <c r="F291" s="10"/>
      <c r="G291" s="10">
        <f>+G289+G287+G285+G280</f>
        <v>130595000</v>
      </c>
      <c r="H291" s="11">
        <f>+H289+H287+H285+H280</f>
        <v>200225000</v>
      </c>
      <c r="I291" s="10">
        <f>+G291+H291</f>
        <v>330820000</v>
      </c>
      <c r="J291" s="12">
        <f>+I291/D291</f>
        <v>0.9382968162802241</v>
      </c>
      <c r="K291" s="10">
        <f>+K289+K287+K285+K280</f>
        <v>124051000</v>
      </c>
      <c r="L291" s="10">
        <f>+L289+L287+L285+L280</f>
        <v>199372700</v>
      </c>
      <c r="M291" s="10">
        <f>+K291+L291</f>
        <v>323423700</v>
      </c>
      <c r="N291" s="12">
        <f>+M291/D291</f>
        <v>0.91731886832588816</v>
      </c>
      <c r="O291" s="10">
        <f>+D291-I291</f>
        <v>21755000</v>
      </c>
      <c r="P291" s="77"/>
      <c r="Q291" s="6" t="str">
        <f t="shared" si="138"/>
        <v>OKE</v>
      </c>
      <c r="R291" s="6"/>
    </row>
    <row r="292" spans="1:18" ht="15" hidden="1" thickBot="1" x14ac:dyDescent="0.25">
      <c r="A292" s="85"/>
      <c r="B292" s="85"/>
      <c r="C292" s="34" t="s">
        <v>31</v>
      </c>
      <c r="D292" s="35"/>
      <c r="E292" s="35"/>
      <c r="F292" s="35"/>
      <c r="G292" s="259"/>
      <c r="H292" s="260"/>
      <c r="I292" s="259"/>
      <c r="J292" s="259"/>
      <c r="K292" s="259"/>
      <c r="L292" s="261"/>
      <c r="M292" s="261"/>
      <c r="N292" s="261"/>
      <c r="O292" s="261"/>
      <c r="P292" s="77"/>
      <c r="Q292" s="6" t="str">
        <f t="shared" si="138"/>
        <v>OKE</v>
      </c>
      <c r="R292" s="6"/>
    </row>
    <row r="293" spans="1:18" ht="15" hidden="1" thickBot="1" x14ac:dyDescent="0.25">
      <c r="A293" s="74"/>
      <c r="B293" s="74"/>
      <c r="C293" s="76"/>
      <c r="D293" s="15"/>
      <c r="E293" s="15"/>
      <c r="F293" s="15"/>
      <c r="G293" s="80"/>
      <c r="H293" s="79"/>
      <c r="I293" s="80"/>
      <c r="J293" s="80"/>
      <c r="K293" s="80"/>
      <c r="L293" s="76"/>
      <c r="M293" s="76"/>
      <c r="N293" s="76"/>
      <c r="O293" s="76"/>
      <c r="P293" s="77"/>
      <c r="Q293" s="6" t="str">
        <f t="shared" si="138"/>
        <v>OKE</v>
      </c>
      <c r="R293" s="6"/>
    </row>
    <row r="294" spans="1:18" ht="15" hidden="1" thickBot="1" x14ac:dyDescent="0.25">
      <c r="A294" s="7" t="s">
        <v>32</v>
      </c>
      <c r="B294" s="7" t="s">
        <v>33</v>
      </c>
      <c r="C294" s="9" t="s">
        <v>83</v>
      </c>
      <c r="D294" s="10">
        <f>+D297</f>
        <v>75000000</v>
      </c>
      <c r="E294" s="10"/>
      <c r="F294" s="10"/>
      <c r="G294" s="10">
        <f>+G297</f>
        <v>45335300</v>
      </c>
      <c r="H294" s="11">
        <f>+H297</f>
        <v>26800000</v>
      </c>
      <c r="I294" s="10">
        <f>+G294+H294</f>
        <v>72135300</v>
      </c>
      <c r="J294" s="12">
        <f>+I294/D294</f>
        <v>0.96180399999999999</v>
      </c>
      <c r="K294" s="10">
        <f>+K297</f>
        <v>43643800</v>
      </c>
      <c r="L294" s="10">
        <f>+L297</f>
        <v>24769900</v>
      </c>
      <c r="M294" s="10">
        <f>+K294+L294</f>
        <v>68413700</v>
      </c>
      <c r="N294" s="12">
        <f>+M294/D294</f>
        <v>0.9121826666666667</v>
      </c>
      <c r="O294" s="10">
        <f>+D294-I294</f>
        <v>2864700</v>
      </c>
      <c r="P294" s="77"/>
      <c r="Q294" s="6" t="str">
        <f t="shared" si="138"/>
        <v>OKE</v>
      </c>
      <c r="R294" s="6"/>
    </row>
    <row r="295" spans="1:18" ht="15" hidden="1" thickBot="1" x14ac:dyDescent="0.25">
      <c r="A295" s="74"/>
      <c r="B295" s="74"/>
      <c r="C295" s="9" t="s">
        <v>49</v>
      </c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38"/>
        <v>OKE</v>
      </c>
      <c r="R295" s="6"/>
    </row>
    <row r="296" spans="1:18" ht="15" hidden="1" thickBot="1" x14ac:dyDescent="0.25">
      <c r="A296" s="74"/>
      <c r="B296" s="74"/>
      <c r="C296" s="76"/>
      <c r="D296" s="15"/>
      <c r="E296" s="15"/>
      <c r="F296" s="15"/>
      <c r="G296" s="80"/>
      <c r="H296" s="79"/>
      <c r="I296" s="80"/>
      <c r="J296" s="80"/>
      <c r="K296" s="80"/>
      <c r="L296" s="76"/>
      <c r="M296" s="76"/>
      <c r="N296" s="76"/>
      <c r="O296" s="76"/>
      <c r="P296" s="77"/>
      <c r="Q296" s="6" t="str">
        <f t="shared" si="138"/>
        <v>OKE</v>
      </c>
      <c r="R296" s="6"/>
    </row>
    <row r="297" spans="1:18" ht="15" hidden="1" thickBot="1" x14ac:dyDescent="0.25">
      <c r="A297" s="74">
        <v>5</v>
      </c>
      <c r="B297" s="75" t="s">
        <v>34</v>
      </c>
      <c r="C297" s="8" t="s">
        <v>35</v>
      </c>
      <c r="D297" s="15">
        <v>75000000</v>
      </c>
      <c r="E297" s="15"/>
      <c r="F297" s="15"/>
      <c r="G297" s="80">
        <v>45335300</v>
      </c>
      <c r="H297" s="79">
        <v>26800000</v>
      </c>
      <c r="I297" s="15">
        <f>+G297+H297</f>
        <v>72135300</v>
      </c>
      <c r="J297" s="16">
        <f>+I297/D297</f>
        <v>0.96180399999999999</v>
      </c>
      <c r="K297" s="80">
        <v>43643800</v>
      </c>
      <c r="L297" s="80">
        <v>24769900</v>
      </c>
      <c r="M297" s="80">
        <f>+K297+L297</f>
        <v>68413700</v>
      </c>
      <c r="N297" s="16">
        <f>+M297/D297</f>
        <v>0.9121826666666667</v>
      </c>
      <c r="O297" s="80">
        <f>+D297-I297</f>
        <v>2864700</v>
      </c>
      <c r="P297" s="77"/>
      <c r="Q297" s="6" t="str">
        <f t="shared" si="138"/>
        <v>OKE</v>
      </c>
      <c r="R297" s="6"/>
    </row>
    <row r="298" spans="1:18" ht="15" hidden="1" thickBot="1" x14ac:dyDescent="0.25">
      <c r="A298" s="74"/>
      <c r="B298" s="74"/>
      <c r="C298" s="76"/>
      <c r="D298" s="15"/>
      <c r="E298" s="15"/>
      <c r="F298" s="15"/>
      <c r="G298" s="80"/>
      <c r="H298" s="79"/>
      <c r="I298" s="80"/>
      <c r="J298" s="80"/>
      <c r="K298" s="80"/>
      <c r="L298" s="76"/>
      <c r="M298" s="76"/>
      <c r="N298" s="76"/>
      <c r="O298" s="76"/>
      <c r="P298" s="77"/>
      <c r="Q298" s="6" t="str">
        <f t="shared" si="138"/>
        <v>OKE</v>
      </c>
      <c r="R298" s="6"/>
    </row>
    <row r="299" spans="1:18" ht="15" hidden="1" thickBot="1" x14ac:dyDescent="0.25">
      <c r="A299" s="74"/>
      <c r="B299" s="74"/>
      <c r="C299" s="9" t="s">
        <v>65</v>
      </c>
      <c r="D299" s="10">
        <f>+D297</f>
        <v>75000000</v>
      </c>
      <c r="E299" s="10"/>
      <c r="F299" s="10"/>
      <c r="G299" s="10">
        <f>+G297</f>
        <v>45335300</v>
      </c>
      <c r="H299" s="11">
        <f>+H297</f>
        <v>26800000</v>
      </c>
      <c r="I299" s="10">
        <f>+G299+H299</f>
        <v>72135300</v>
      </c>
      <c r="J299" s="12">
        <f>+I299/D299</f>
        <v>0.96180399999999999</v>
      </c>
      <c r="K299" s="10">
        <f>+K297</f>
        <v>43643800</v>
      </c>
      <c r="L299" s="10">
        <f>+L297</f>
        <v>24769900</v>
      </c>
      <c r="M299" s="10">
        <f>+K299+L299</f>
        <v>68413700</v>
      </c>
      <c r="N299" s="12">
        <f>+M299/D299</f>
        <v>0.9121826666666667</v>
      </c>
      <c r="O299" s="10">
        <f>+D299-I299</f>
        <v>2864700</v>
      </c>
      <c r="P299" s="77"/>
      <c r="Q299" s="6" t="str">
        <f t="shared" si="138"/>
        <v>OKE</v>
      </c>
      <c r="R299" s="6"/>
    </row>
    <row r="300" spans="1:18" ht="15" hidden="1" thickBot="1" x14ac:dyDescent="0.25">
      <c r="A300" s="81"/>
      <c r="B300" s="81"/>
      <c r="C300" s="23" t="s">
        <v>66</v>
      </c>
      <c r="D300" s="32"/>
      <c r="E300" s="32"/>
      <c r="F300" s="32"/>
      <c r="G300" s="252"/>
      <c r="H300" s="253"/>
      <c r="I300" s="252"/>
      <c r="J300" s="252"/>
      <c r="K300" s="252"/>
      <c r="L300" s="251"/>
      <c r="M300" s="251"/>
      <c r="N300" s="251"/>
      <c r="O300" s="251"/>
      <c r="P300" s="77"/>
      <c r="Q300" s="6" t="str">
        <f t="shared" si="138"/>
        <v>OKE</v>
      </c>
      <c r="R300" s="6"/>
    </row>
    <row r="301" spans="1:18" ht="15" hidden="1" thickBot="1" x14ac:dyDescent="0.25">
      <c r="B301" s="88"/>
      <c r="C301" s="77"/>
      <c r="D301" s="31"/>
      <c r="E301" s="31"/>
      <c r="F301" s="31"/>
      <c r="G301" s="179"/>
      <c r="H301" s="258"/>
      <c r="I301" s="179"/>
      <c r="J301" s="179"/>
      <c r="K301" s="179"/>
      <c r="L301" s="77"/>
      <c r="M301" s="77"/>
      <c r="N301" s="77"/>
      <c r="O301" s="77"/>
      <c r="P301" s="77"/>
      <c r="Q301" s="6" t="str">
        <f t="shared" si="138"/>
        <v>OKE</v>
      </c>
      <c r="R301" s="6"/>
    </row>
    <row r="302" spans="1:18" ht="15" hidden="1" thickBot="1" x14ac:dyDescent="0.25"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8"/>
        <v>OKE</v>
      </c>
      <c r="R302" s="6"/>
    </row>
    <row r="303" spans="1:18" ht="15" hidden="1" thickBot="1" x14ac:dyDescent="0.25">
      <c r="A303" s="77"/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8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8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8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8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8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38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ref="Q309:Q372" si="142">IF(M309&lt;=I309,"OKE","Salah")</f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42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2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2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2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2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2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2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2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2"/>
        <v>OKE</v>
      </c>
      <c r="R318" s="6"/>
    </row>
    <row r="319" spans="1:18" ht="15" hidden="1" thickBot="1" x14ac:dyDescent="0.25"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2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2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2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2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2"/>
        <v>OKE</v>
      </c>
      <c r="R323" s="6"/>
    </row>
    <row r="324" spans="1:18" ht="15" hidden="1" thickBot="1" x14ac:dyDescent="0.25">
      <c r="A324" s="407"/>
      <c r="B324" s="407"/>
      <c r="C324" s="407"/>
      <c r="D324" s="407"/>
      <c r="E324" s="407"/>
      <c r="F324" s="407"/>
      <c r="G324" s="407"/>
      <c r="H324" s="407"/>
      <c r="I324" s="407"/>
      <c r="J324" s="407"/>
      <c r="K324" s="407"/>
      <c r="L324" s="407"/>
      <c r="M324" s="407"/>
      <c r="N324" s="407"/>
      <c r="O324" s="407"/>
      <c r="P324" s="77"/>
      <c r="Q324" s="6" t="str">
        <f t="shared" si="142"/>
        <v>OKE</v>
      </c>
      <c r="R324" s="6"/>
    </row>
    <row r="325" spans="1:18" ht="14.1" hidden="1" customHeight="1" x14ac:dyDescent="0.2">
      <c r="A325" s="361" t="s">
        <v>2</v>
      </c>
      <c r="B325" s="361" t="s">
        <v>3</v>
      </c>
      <c r="C325" s="361" t="s">
        <v>4</v>
      </c>
      <c r="D325" s="361" t="s">
        <v>5</v>
      </c>
      <c r="E325" s="197"/>
      <c r="F325" s="197"/>
      <c r="G325" s="358" t="s">
        <v>11</v>
      </c>
      <c r="H325" s="359"/>
      <c r="I325" s="359"/>
      <c r="J325" s="360"/>
      <c r="K325" s="358" t="s">
        <v>9</v>
      </c>
      <c r="L325" s="359"/>
      <c r="M325" s="359"/>
      <c r="N325" s="360"/>
      <c r="O325" s="361" t="s">
        <v>10</v>
      </c>
      <c r="P325" s="77"/>
      <c r="Q325" s="6" t="str">
        <f t="shared" si="142"/>
        <v>OKE</v>
      </c>
      <c r="R325" s="6"/>
    </row>
    <row r="326" spans="1:18" ht="14.1" hidden="1" customHeight="1" x14ac:dyDescent="0.2">
      <c r="A326" s="362"/>
      <c r="B326" s="362"/>
      <c r="C326" s="362"/>
      <c r="D326" s="362"/>
      <c r="E326" s="44"/>
      <c r="F326" s="44"/>
      <c r="G326" s="358" t="s">
        <v>74</v>
      </c>
      <c r="H326" s="359"/>
      <c r="I326" s="359"/>
      <c r="J326" s="360"/>
      <c r="K326" s="358" t="s">
        <v>12</v>
      </c>
      <c r="L326" s="359"/>
      <c r="M326" s="359"/>
      <c r="N326" s="360"/>
      <c r="O326" s="362"/>
      <c r="P326" s="77"/>
      <c r="Q326" s="6" t="str">
        <f t="shared" si="142"/>
        <v>OKE</v>
      </c>
      <c r="R326" s="6"/>
    </row>
    <row r="327" spans="1:18" ht="15" hidden="1" thickBot="1" x14ac:dyDescent="0.25">
      <c r="A327" s="378"/>
      <c r="B327" s="378"/>
      <c r="C327" s="378"/>
      <c r="D327" s="378"/>
      <c r="E327" s="196"/>
      <c r="F327" s="196"/>
      <c r="G327" s="144" t="s">
        <v>13</v>
      </c>
      <c r="H327" s="145" t="s">
        <v>14</v>
      </c>
      <c r="I327" s="144" t="s">
        <v>15</v>
      </c>
      <c r="J327" s="144" t="s">
        <v>16</v>
      </c>
      <c r="K327" s="144" t="s">
        <v>13</v>
      </c>
      <c r="L327" s="144" t="s">
        <v>14</v>
      </c>
      <c r="M327" s="144" t="s">
        <v>15</v>
      </c>
      <c r="N327" s="144" t="s">
        <v>16</v>
      </c>
      <c r="O327" s="378"/>
      <c r="P327" s="77"/>
      <c r="Q327" s="6" t="str">
        <f t="shared" si="142"/>
        <v>OKE</v>
      </c>
      <c r="R327" s="6"/>
    </row>
    <row r="328" spans="1:18" ht="15" hidden="1" thickBot="1" x14ac:dyDescent="0.25">
      <c r="A328" s="2">
        <v>1</v>
      </c>
      <c r="B328" s="2">
        <v>2</v>
      </c>
      <c r="C328" s="2">
        <v>3</v>
      </c>
      <c r="D328" s="2">
        <v>4</v>
      </c>
      <c r="E328" s="2"/>
      <c r="F328" s="2"/>
      <c r="G328" s="2">
        <v>5</v>
      </c>
      <c r="H328" s="145">
        <v>6</v>
      </c>
      <c r="I328" s="45" t="s">
        <v>77</v>
      </c>
      <c r="J328" s="45" t="s">
        <v>78</v>
      </c>
      <c r="K328" s="45">
        <v>9</v>
      </c>
      <c r="L328" s="45">
        <v>10</v>
      </c>
      <c r="M328" s="45" t="s">
        <v>79</v>
      </c>
      <c r="N328" s="45" t="s">
        <v>80</v>
      </c>
      <c r="O328" s="45" t="s">
        <v>81</v>
      </c>
      <c r="P328" s="77"/>
      <c r="Q328" s="6" t="str">
        <f t="shared" si="142"/>
        <v>OKE</v>
      </c>
      <c r="R328" s="6"/>
    </row>
    <row r="329" spans="1:18" ht="15" hidden="1" thickBot="1" x14ac:dyDescent="0.25">
      <c r="A329" s="74"/>
      <c r="B329" s="76"/>
      <c r="C329" s="76"/>
      <c r="D329" s="8"/>
      <c r="E329" s="8"/>
      <c r="F329" s="8"/>
      <c r="G329" s="76"/>
      <c r="H329" s="82"/>
      <c r="I329" s="76"/>
      <c r="J329" s="76"/>
      <c r="K329" s="76"/>
      <c r="L329" s="76"/>
      <c r="M329" s="76"/>
      <c r="N329" s="241"/>
      <c r="O329" s="241"/>
      <c r="P329" s="77"/>
      <c r="Q329" s="6" t="str">
        <f t="shared" si="142"/>
        <v>OKE</v>
      </c>
      <c r="R329" s="6"/>
    </row>
    <row r="330" spans="1:18" ht="15" hidden="1" thickBot="1" x14ac:dyDescent="0.25">
      <c r="A330" s="74"/>
      <c r="B330" s="76"/>
      <c r="C330" s="244" t="s">
        <v>82</v>
      </c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76"/>
      <c r="O330" s="76"/>
      <c r="P330" s="77"/>
      <c r="Q330" s="6" t="str">
        <f t="shared" si="142"/>
        <v>OKE</v>
      </c>
      <c r="R330" s="6"/>
    </row>
    <row r="331" spans="1:18" ht="15" hidden="1" thickBot="1" x14ac:dyDescent="0.25">
      <c r="A331" s="74"/>
      <c r="B331" s="76"/>
      <c r="C331" s="76"/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76"/>
      <c r="O331" s="76"/>
      <c r="P331" s="77"/>
      <c r="Q331" s="6" t="str">
        <f t="shared" si="142"/>
        <v>OKE</v>
      </c>
      <c r="R331" s="6"/>
    </row>
    <row r="332" spans="1:18" ht="15" hidden="1" thickBot="1" x14ac:dyDescent="0.25">
      <c r="A332" s="7" t="s">
        <v>38</v>
      </c>
      <c r="B332" s="7" t="s">
        <v>75</v>
      </c>
      <c r="C332" s="9" t="s">
        <v>84</v>
      </c>
      <c r="D332" s="10">
        <f>+D335+D338+D340+D342</f>
        <v>253000000</v>
      </c>
      <c r="E332" s="10"/>
      <c r="F332" s="10"/>
      <c r="G332" s="10">
        <f>+G335+G338+G340+G342</f>
        <v>196063600</v>
      </c>
      <c r="H332" s="11">
        <f>+H335+H338+H340+H342</f>
        <v>54435500</v>
      </c>
      <c r="I332" s="10">
        <f>+G332+H332</f>
        <v>250499100</v>
      </c>
      <c r="J332" s="12">
        <f>+I332/D332</f>
        <v>0.99011501976284588</v>
      </c>
      <c r="K332" s="10">
        <f>+K335+K338+K340+K342</f>
        <v>195569100</v>
      </c>
      <c r="L332" s="10">
        <f>+L335+L338+L340+L342</f>
        <v>54908000</v>
      </c>
      <c r="M332" s="10">
        <f>+K332+L332</f>
        <v>250477100</v>
      </c>
      <c r="N332" s="12">
        <f>+M332/D332</f>
        <v>0.9900280632411067</v>
      </c>
      <c r="O332" s="10">
        <f>+D332-I332</f>
        <v>2500900</v>
      </c>
      <c r="P332" s="77"/>
      <c r="Q332" s="6" t="str">
        <f t="shared" si="142"/>
        <v>OKE</v>
      </c>
      <c r="R332" s="6"/>
    </row>
    <row r="333" spans="1:18" ht="15" hidden="1" thickBot="1" x14ac:dyDescent="0.25">
      <c r="A333" s="74"/>
      <c r="B333" s="74"/>
      <c r="C333" s="9" t="s">
        <v>85</v>
      </c>
      <c r="D333" s="15"/>
      <c r="E333" s="15"/>
      <c r="F333" s="15"/>
      <c r="G333" s="80"/>
      <c r="H333" s="79"/>
      <c r="I333" s="80"/>
      <c r="J333" s="80"/>
      <c r="K333" s="80"/>
      <c r="L333" s="76"/>
      <c r="M333" s="76"/>
      <c r="N333" s="76"/>
      <c r="O333" s="76"/>
      <c r="P333" s="77"/>
      <c r="Q333" s="6" t="str">
        <f t="shared" si="142"/>
        <v>OKE</v>
      </c>
      <c r="R333" s="6"/>
    </row>
    <row r="334" spans="1:18" ht="15" hidden="1" thickBot="1" x14ac:dyDescent="0.25">
      <c r="A334" s="74"/>
      <c r="B334" s="74"/>
      <c r="C334" s="76"/>
      <c r="D334" s="15"/>
      <c r="E334" s="15"/>
      <c r="F334" s="15"/>
      <c r="G334" s="80"/>
      <c r="H334" s="79"/>
      <c r="I334" s="80"/>
      <c r="J334" s="80"/>
      <c r="K334" s="80"/>
      <c r="L334" s="76"/>
      <c r="M334" s="76"/>
      <c r="N334" s="76"/>
      <c r="O334" s="76"/>
      <c r="P334" s="77"/>
      <c r="Q334" s="6" t="str">
        <f t="shared" si="142"/>
        <v>OKE</v>
      </c>
      <c r="R334" s="6"/>
    </row>
    <row r="335" spans="1:18" ht="15" hidden="1" thickBot="1" x14ac:dyDescent="0.25">
      <c r="A335" s="74">
        <v>6</v>
      </c>
      <c r="B335" s="75" t="s">
        <v>39</v>
      </c>
      <c r="C335" s="8" t="s">
        <v>86</v>
      </c>
      <c r="D335" s="15">
        <v>38000000</v>
      </c>
      <c r="E335" s="15"/>
      <c r="F335" s="15"/>
      <c r="G335" s="80">
        <v>37612500</v>
      </c>
      <c r="H335" s="79">
        <v>0</v>
      </c>
      <c r="I335" s="15">
        <f>+G335+H335</f>
        <v>37612500</v>
      </c>
      <c r="J335" s="16">
        <f>+I335/D335</f>
        <v>0.98980263157894732</v>
      </c>
      <c r="K335" s="80">
        <v>37612500</v>
      </c>
      <c r="L335" s="80">
        <v>0</v>
      </c>
      <c r="M335" s="80">
        <f>+K335+L335</f>
        <v>37612500</v>
      </c>
      <c r="N335" s="16">
        <f>+M335/D335</f>
        <v>0.98980263157894732</v>
      </c>
      <c r="O335" s="80">
        <f>+D335-I335</f>
        <v>387500</v>
      </c>
      <c r="P335" s="77"/>
      <c r="Q335" s="6" t="str">
        <f t="shared" si="142"/>
        <v>OKE</v>
      </c>
      <c r="R335" s="6"/>
    </row>
    <row r="336" spans="1:18" ht="15" hidden="1" thickBot="1" x14ac:dyDescent="0.25">
      <c r="A336" s="74"/>
      <c r="B336" s="74"/>
      <c r="C336" s="8" t="s">
        <v>52</v>
      </c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42"/>
        <v>OKE</v>
      </c>
      <c r="R336" s="6"/>
    </row>
    <row r="337" spans="1:18" ht="15" hidden="1" thickBot="1" x14ac:dyDescent="0.25">
      <c r="A337" s="74"/>
      <c r="B337" s="74"/>
      <c r="C337" s="8"/>
      <c r="D337" s="15"/>
      <c r="E337" s="15"/>
      <c r="F337" s="15"/>
      <c r="G337" s="80"/>
      <c r="H337" s="79"/>
      <c r="I337" s="80"/>
      <c r="J337" s="80"/>
      <c r="K337" s="80"/>
      <c r="L337" s="76"/>
      <c r="M337" s="76"/>
      <c r="N337" s="76"/>
      <c r="O337" s="76"/>
      <c r="P337" s="77"/>
      <c r="Q337" s="6" t="str">
        <f t="shared" si="142"/>
        <v>OKE</v>
      </c>
      <c r="R337" s="6"/>
    </row>
    <row r="338" spans="1:18" ht="15" hidden="1" thickBot="1" x14ac:dyDescent="0.25">
      <c r="A338" s="74">
        <v>7</v>
      </c>
      <c r="B338" s="75" t="s">
        <v>42</v>
      </c>
      <c r="C338" s="8" t="s">
        <v>53</v>
      </c>
      <c r="D338" s="15">
        <v>60000000</v>
      </c>
      <c r="E338" s="15"/>
      <c r="F338" s="15"/>
      <c r="G338" s="80">
        <v>59091100</v>
      </c>
      <c r="H338" s="79">
        <v>0</v>
      </c>
      <c r="I338" s="15">
        <f>+G338+H338</f>
        <v>59091100</v>
      </c>
      <c r="J338" s="16">
        <f>+I338/D338</f>
        <v>0.98485166666666668</v>
      </c>
      <c r="K338" s="80">
        <v>59091100</v>
      </c>
      <c r="L338" s="80">
        <v>0</v>
      </c>
      <c r="M338" s="80">
        <f>+K338+L338</f>
        <v>59091100</v>
      </c>
      <c r="N338" s="16">
        <f>+M338/D338</f>
        <v>0.98485166666666668</v>
      </c>
      <c r="O338" s="80">
        <f>+D338-I338</f>
        <v>908900</v>
      </c>
      <c r="P338" s="77"/>
      <c r="Q338" s="6" t="str">
        <f t="shared" si="142"/>
        <v>OKE</v>
      </c>
      <c r="R338" s="6"/>
    </row>
    <row r="339" spans="1:18" ht="15" hidden="1" thickBot="1" x14ac:dyDescent="0.25">
      <c r="A339" s="74"/>
      <c r="B339" s="74"/>
      <c r="C339" s="8"/>
      <c r="D339" s="15"/>
      <c r="E339" s="15"/>
      <c r="F339" s="15"/>
      <c r="G339" s="80"/>
      <c r="H339" s="79"/>
      <c r="I339" s="80"/>
      <c r="J339" s="80"/>
      <c r="K339" s="80"/>
      <c r="L339" s="76"/>
      <c r="M339" s="76"/>
      <c r="N339" s="76"/>
      <c r="O339" s="76"/>
      <c r="P339" s="77"/>
      <c r="Q339" s="6" t="str">
        <f t="shared" si="142"/>
        <v>OKE</v>
      </c>
      <c r="R339" s="6"/>
    </row>
    <row r="340" spans="1:18" ht="15" hidden="1" thickBot="1" x14ac:dyDescent="0.25">
      <c r="A340" s="74">
        <v>8</v>
      </c>
      <c r="B340" s="75" t="s">
        <v>24</v>
      </c>
      <c r="C340" s="8" t="s">
        <v>87</v>
      </c>
      <c r="D340" s="15">
        <v>65000000</v>
      </c>
      <c r="E340" s="15"/>
      <c r="F340" s="15"/>
      <c r="G340" s="80">
        <v>38340000</v>
      </c>
      <c r="H340" s="79">
        <v>25460000</v>
      </c>
      <c r="I340" s="15">
        <f>+G340+H340</f>
        <v>63800000</v>
      </c>
      <c r="J340" s="16">
        <f>+I340/D340</f>
        <v>0.98153846153846158</v>
      </c>
      <c r="K340" s="80">
        <v>37852500</v>
      </c>
      <c r="L340" s="80">
        <v>25932500</v>
      </c>
      <c r="M340" s="80">
        <f>+K340+L340</f>
        <v>63785000</v>
      </c>
      <c r="N340" s="16">
        <f>+M340/D340</f>
        <v>0.98130769230769233</v>
      </c>
      <c r="O340" s="80">
        <f>+D340-I340</f>
        <v>1200000</v>
      </c>
      <c r="P340" s="77"/>
      <c r="Q340" s="6" t="str">
        <f t="shared" si="142"/>
        <v>OKE</v>
      </c>
      <c r="R340" s="6"/>
    </row>
    <row r="341" spans="1:18" ht="15" hidden="1" thickBot="1" x14ac:dyDescent="0.25">
      <c r="A341" s="74"/>
      <c r="B341" s="76"/>
      <c r="C341" s="76"/>
      <c r="D341" s="8"/>
      <c r="E341" s="8"/>
      <c r="F341" s="8"/>
      <c r="G341" s="76"/>
      <c r="H341" s="82"/>
      <c r="I341" s="76"/>
      <c r="J341" s="76"/>
      <c r="K341" s="46"/>
      <c r="L341" s="76"/>
      <c r="M341" s="76"/>
      <c r="N341" s="76"/>
      <c r="O341" s="76"/>
      <c r="P341" s="77"/>
      <c r="Q341" s="6" t="str">
        <f t="shared" si="142"/>
        <v>OKE</v>
      </c>
      <c r="R341" s="6"/>
    </row>
    <row r="342" spans="1:18" ht="15" hidden="1" thickBot="1" x14ac:dyDescent="0.25">
      <c r="A342" s="74">
        <v>9</v>
      </c>
      <c r="B342" s="75" t="s">
        <v>40</v>
      </c>
      <c r="C342" s="76" t="s">
        <v>88</v>
      </c>
      <c r="D342" s="47">
        <v>90000000</v>
      </c>
      <c r="E342" s="47"/>
      <c r="F342" s="47"/>
      <c r="G342" s="80">
        <v>61020000</v>
      </c>
      <c r="H342" s="79">
        <v>28975500</v>
      </c>
      <c r="I342" s="15">
        <f>+G342+H342</f>
        <v>89995500</v>
      </c>
      <c r="J342" s="16">
        <f>+I342/D342</f>
        <v>0.99995000000000001</v>
      </c>
      <c r="K342" s="80">
        <v>61013000</v>
      </c>
      <c r="L342" s="80">
        <v>28975500</v>
      </c>
      <c r="M342" s="80">
        <f>+K342+L342</f>
        <v>89988500</v>
      </c>
      <c r="N342" s="48">
        <v>0.99980000000000002</v>
      </c>
      <c r="O342" s="80">
        <f>+D342-I342</f>
        <v>4500</v>
      </c>
      <c r="P342" s="77"/>
      <c r="Q342" s="6" t="str">
        <f t="shared" si="142"/>
        <v>OKE</v>
      </c>
      <c r="R342" s="6"/>
    </row>
    <row r="343" spans="1:18" ht="15" hidden="1" thickBot="1" x14ac:dyDescent="0.25">
      <c r="A343" s="74"/>
      <c r="B343" s="76"/>
      <c r="C343" s="76"/>
      <c r="D343" s="8"/>
      <c r="E343" s="8"/>
      <c r="F343" s="8"/>
      <c r="G343" s="76"/>
      <c r="H343" s="82"/>
      <c r="I343" s="76"/>
      <c r="J343" s="76"/>
      <c r="K343" s="76"/>
      <c r="L343" s="76"/>
      <c r="M343" s="76"/>
      <c r="N343" s="76"/>
      <c r="O343" s="76"/>
      <c r="P343" s="77"/>
      <c r="Q343" s="6" t="str">
        <f t="shared" si="142"/>
        <v>OKE</v>
      </c>
      <c r="R343" s="6"/>
    </row>
    <row r="344" spans="1:18" ht="15" hidden="1" thickBot="1" x14ac:dyDescent="0.25">
      <c r="A344" s="74"/>
      <c r="B344" s="76"/>
      <c r="C344" s="9" t="s">
        <v>89</v>
      </c>
      <c r="D344" s="10">
        <f>+D342+D340+D338+D335</f>
        <v>253000000</v>
      </c>
      <c r="E344" s="10"/>
      <c r="F344" s="10"/>
      <c r="G344" s="10">
        <f>+G342+G340+G338+G335</f>
        <v>196063600</v>
      </c>
      <c r="H344" s="11">
        <f>+H342+H340+H338+H335</f>
        <v>54435500</v>
      </c>
      <c r="I344" s="10">
        <f>+G344+H344</f>
        <v>250499100</v>
      </c>
      <c r="J344" s="12">
        <f>+I344/D344</f>
        <v>0.99011501976284588</v>
      </c>
      <c r="K344" s="10">
        <f>+K342+K340+K338+K335</f>
        <v>195569100</v>
      </c>
      <c r="L344" s="10">
        <f>+L342+L340+L338+L335</f>
        <v>54908000</v>
      </c>
      <c r="M344" s="10">
        <f>+K344+L344</f>
        <v>250477100</v>
      </c>
      <c r="N344" s="12">
        <f>+M344/D344</f>
        <v>0.9900280632411067</v>
      </c>
      <c r="O344" s="10">
        <f>+D344-I344</f>
        <v>2500900</v>
      </c>
      <c r="P344" s="77"/>
      <c r="Q344" s="6" t="str">
        <f t="shared" si="142"/>
        <v>OKE</v>
      </c>
      <c r="R344" s="6"/>
    </row>
    <row r="345" spans="1:18" ht="15" hidden="1" thickBot="1" x14ac:dyDescent="0.25">
      <c r="A345" s="85"/>
      <c r="B345" s="261"/>
      <c r="C345" s="34" t="s">
        <v>90</v>
      </c>
      <c r="D345" s="49"/>
      <c r="E345" s="49"/>
      <c r="F345" s="49"/>
      <c r="G345" s="261"/>
      <c r="H345" s="262"/>
      <c r="I345" s="261"/>
      <c r="J345" s="261"/>
      <c r="K345" s="261"/>
      <c r="L345" s="261"/>
      <c r="M345" s="261"/>
      <c r="N345" s="261"/>
      <c r="O345" s="261"/>
      <c r="P345" s="77"/>
      <c r="Q345" s="6" t="str">
        <f t="shared" si="142"/>
        <v>OKE</v>
      </c>
      <c r="R345" s="6"/>
    </row>
    <row r="346" spans="1:18" ht="15" hidden="1" thickBot="1" x14ac:dyDescent="0.25">
      <c r="A346" s="74"/>
      <c r="B346" s="76"/>
      <c r="C346" s="76"/>
      <c r="D346" s="8"/>
      <c r="E346" s="8"/>
      <c r="F346" s="8"/>
      <c r="G346" s="76"/>
      <c r="H346" s="82"/>
      <c r="I346" s="76"/>
      <c r="J346" s="76"/>
      <c r="K346" s="76"/>
      <c r="L346" s="76"/>
      <c r="M346" s="76"/>
      <c r="N346" s="76"/>
      <c r="O346" s="76"/>
      <c r="P346" s="50"/>
      <c r="Q346" s="6" t="str">
        <f t="shared" si="142"/>
        <v>OKE</v>
      </c>
      <c r="R346" s="6"/>
    </row>
    <row r="347" spans="1:18" ht="15" hidden="1" thickBot="1" x14ac:dyDescent="0.25">
      <c r="A347" s="7" t="s">
        <v>41</v>
      </c>
      <c r="B347" s="7" t="s">
        <v>54</v>
      </c>
      <c r="C347" s="9" t="s">
        <v>91</v>
      </c>
      <c r="D347" s="10">
        <f>+D350</f>
        <v>105000000</v>
      </c>
      <c r="E347" s="10"/>
      <c r="F347" s="10"/>
      <c r="G347" s="10">
        <f>+G350</f>
        <v>105000000</v>
      </c>
      <c r="H347" s="11">
        <f>+H350</f>
        <v>0</v>
      </c>
      <c r="I347" s="10">
        <f>+G347+H347</f>
        <v>105000000</v>
      </c>
      <c r="J347" s="12">
        <f>+I347/D347</f>
        <v>1</v>
      </c>
      <c r="K347" s="10">
        <f>+K350</f>
        <v>104800000</v>
      </c>
      <c r="L347" s="10">
        <f>+L350</f>
        <v>0</v>
      </c>
      <c r="M347" s="10">
        <f>+K347+L347</f>
        <v>104800000</v>
      </c>
      <c r="N347" s="12">
        <f>+M347/D347</f>
        <v>0.99809523809523815</v>
      </c>
      <c r="O347" s="10">
        <f>+D347-I347</f>
        <v>0</v>
      </c>
      <c r="P347" s="5"/>
      <c r="Q347" s="6" t="str">
        <f t="shared" si="142"/>
        <v>OKE</v>
      </c>
      <c r="R347" s="6"/>
    </row>
    <row r="348" spans="1:18" ht="15" hidden="1" thickBot="1" x14ac:dyDescent="0.25">
      <c r="A348" s="74"/>
      <c r="B348" s="76"/>
      <c r="C348" s="9" t="s">
        <v>92</v>
      </c>
      <c r="D348" s="15"/>
      <c r="E348" s="15"/>
      <c r="F348" s="15"/>
      <c r="G348" s="80"/>
      <c r="H348" s="79"/>
      <c r="I348" s="80"/>
      <c r="J348" s="80"/>
      <c r="K348" s="80"/>
      <c r="L348" s="76"/>
      <c r="M348" s="76"/>
      <c r="N348" s="76"/>
      <c r="O348" s="76"/>
      <c r="P348" s="5"/>
      <c r="Q348" s="6" t="str">
        <f t="shared" si="142"/>
        <v>OKE</v>
      </c>
      <c r="R348" s="6"/>
    </row>
    <row r="349" spans="1:18" ht="15" hidden="1" thickBot="1" x14ac:dyDescent="0.25">
      <c r="A349" s="74"/>
      <c r="B349" s="76"/>
      <c r="C349" s="76"/>
      <c r="D349" s="15"/>
      <c r="E349" s="15"/>
      <c r="F349" s="15"/>
      <c r="G349" s="80"/>
      <c r="H349" s="79"/>
      <c r="I349" s="80"/>
      <c r="J349" s="80"/>
      <c r="K349" s="80"/>
      <c r="L349" s="76"/>
      <c r="M349" s="76"/>
      <c r="N349" s="76"/>
      <c r="O349" s="76"/>
      <c r="P349" s="5"/>
      <c r="Q349" s="6" t="str">
        <f t="shared" si="142"/>
        <v>OKE</v>
      </c>
      <c r="R349" s="6"/>
    </row>
    <row r="350" spans="1:18" ht="15" hidden="1" thickBot="1" x14ac:dyDescent="0.25">
      <c r="A350" s="74">
        <v>10</v>
      </c>
      <c r="B350" s="75" t="s">
        <v>43</v>
      </c>
      <c r="C350" s="8" t="s">
        <v>93</v>
      </c>
      <c r="D350" s="15">
        <v>105000000</v>
      </c>
      <c r="E350" s="15"/>
      <c r="F350" s="15"/>
      <c r="G350" s="80">
        <v>105000000</v>
      </c>
      <c r="H350" s="79">
        <v>0</v>
      </c>
      <c r="I350" s="15">
        <f>+G350+H350</f>
        <v>105000000</v>
      </c>
      <c r="J350" s="16">
        <f>+I350/D350</f>
        <v>1</v>
      </c>
      <c r="K350" s="80">
        <v>104800000</v>
      </c>
      <c r="L350" s="80">
        <v>0</v>
      </c>
      <c r="M350" s="80">
        <f>+K350+L350</f>
        <v>104800000</v>
      </c>
      <c r="N350" s="16">
        <f>+M350/D350</f>
        <v>0.99809523809523815</v>
      </c>
      <c r="O350" s="80">
        <f>+D350-I350</f>
        <v>0</v>
      </c>
      <c r="P350" s="5"/>
      <c r="Q350" s="6" t="str">
        <f t="shared" si="142"/>
        <v>OKE</v>
      </c>
      <c r="R350" s="6"/>
    </row>
    <row r="351" spans="1:18" ht="15" hidden="1" thickBot="1" x14ac:dyDescent="0.25">
      <c r="A351" s="74"/>
      <c r="B351" s="74"/>
      <c r="C351" s="76"/>
      <c r="D351" s="15"/>
      <c r="E351" s="15"/>
      <c r="F351" s="15"/>
      <c r="G351" s="80"/>
      <c r="H351" s="79"/>
      <c r="I351" s="80"/>
      <c r="J351" s="80"/>
      <c r="K351" s="80"/>
      <c r="L351" s="76"/>
      <c r="M351" s="76"/>
      <c r="N351" s="76"/>
      <c r="O351" s="76"/>
      <c r="P351" s="5"/>
      <c r="Q351" s="6" t="str">
        <f t="shared" si="142"/>
        <v>OKE</v>
      </c>
      <c r="R351" s="6"/>
    </row>
    <row r="352" spans="1:18" ht="15" hidden="1" thickBot="1" x14ac:dyDescent="0.25">
      <c r="A352" s="74"/>
      <c r="B352" s="74"/>
      <c r="C352" s="9" t="s">
        <v>94</v>
      </c>
      <c r="D352" s="10">
        <f>+D350</f>
        <v>105000000</v>
      </c>
      <c r="E352" s="10"/>
      <c r="F352" s="10"/>
      <c r="G352" s="10">
        <f>+G350</f>
        <v>105000000</v>
      </c>
      <c r="H352" s="11">
        <f>+H350</f>
        <v>0</v>
      </c>
      <c r="I352" s="10">
        <f>+G352+H352</f>
        <v>105000000</v>
      </c>
      <c r="J352" s="12">
        <f>+I352/D352</f>
        <v>1</v>
      </c>
      <c r="K352" s="10">
        <f>+K350</f>
        <v>104800000</v>
      </c>
      <c r="L352" s="10">
        <f>+L350</f>
        <v>0</v>
      </c>
      <c r="M352" s="10">
        <f>+K352+L352</f>
        <v>104800000</v>
      </c>
      <c r="N352" s="12">
        <f>+M352/D352</f>
        <v>0.99809523809523815</v>
      </c>
      <c r="O352" s="10">
        <f>+D352-I352</f>
        <v>0</v>
      </c>
      <c r="P352" s="5"/>
      <c r="Q352" s="6" t="str">
        <f t="shared" si="142"/>
        <v>OKE</v>
      </c>
      <c r="R352" s="6"/>
    </row>
    <row r="353" spans="1:18" ht="15" hidden="1" thickBot="1" x14ac:dyDescent="0.25">
      <c r="A353" s="85"/>
      <c r="B353" s="85"/>
      <c r="C353" s="34" t="s">
        <v>55</v>
      </c>
      <c r="D353" s="35"/>
      <c r="E353" s="35"/>
      <c r="F353" s="35"/>
      <c r="G353" s="259"/>
      <c r="H353" s="260"/>
      <c r="I353" s="259"/>
      <c r="J353" s="259"/>
      <c r="K353" s="259"/>
      <c r="L353" s="261"/>
      <c r="M353" s="261"/>
      <c r="N353" s="261"/>
      <c r="O353" s="261"/>
      <c r="P353" s="5"/>
      <c r="Q353" s="6" t="str">
        <f t="shared" si="142"/>
        <v>OKE</v>
      </c>
      <c r="R353" s="6"/>
    </row>
    <row r="354" spans="1:18" ht="15" hidden="1" thickBot="1" x14ac:dyDescent="0.25">
      <c r="A354" s="91"/>
      <c r="B354" s="91"/>
      <c r="C354" s="51"/>
      <c r="D354" s="52"/>
      <c r="E354" s="52"/>
      <c r="F354" s="52"/>
      <c r="G354" s="263"/>
      <c r="H354" s="264"/>
      <c r="I354" s="263"/>
      <c r="J354" s="263"/>
      <c r="K354" s="263"/>
      <c r="L354" s="265"/>
      <c r="M354" s="265"/>
      <c r="N354" s="265"/>
      <c r="O354" s="265"/>
      <c r="P354" s="5"/>
      <c r="Q354" s="6" t="str">
        <f t="shared" si="142"/>
        <v>OKE</v>
      </c>
      <c r="R354" s="6"/>
    </row>
    <row r="355" spans="1:18" ht="15" hidden="1" thickBot="1" x14ac:dyDescent="0.25">
      <c r="A355" s="411" t="s">
        <v>95</v>
      </c>
      <c r="B355" s="411"/>
      <c r="C355" s="413" t="s">
        <v>96</v>
      </c>
      <c r="D355" s="415">
        <f>+D352+D344+D299+D291</f>
        <v>785575000</v>
      </c>
      <c r="E355" s="198"/>
      <c r="F355" s="198"/>
      <c r="G355" s="415">
        <f>+G352+G344+G299+G291</f>
        <v>476993900</v>
      </c>
      <c r="H355" s="417">
        <f>+H352+H344+H299+H291</f>
        <v>281460500</v>
      </c>
      <c r="I355" s="415">
        <f>+G355+H355</f>
        <v>758454400</v>
      </c>
      <c r="J355" s="419">
        <f>+I355/D355</f>
        <v>0.96547675269706901</v>
      </c>
      <c r="K355" s="415">
        <f>+K352+K344+K299+K291</f>
        <v>468063900</v>
      </c>
      <c r="L355" s="415">
        <f>+L352+L344+L299+L291</f>
        <v>279050600</v>
      </c>
      <c r="M355" s="421">
        <f>+K355+L355</f>
        <v>747114500</v>
      </c>
      <c r="N355" s="423">
        <f>+M355/D355</f>
        <v>0.95104159373707153</v>
      </c>
      <c r="O355" s="421">
        <f>+D355-I355</f>
        <v>27120600</v>
      </c>
      <c r="P355" s="5"/>
      <c r="Q355" s="6" t="str">
        <f t="shared" si="142"/>
        <v>OKE</v>
      </c>
      <c r="R355" s="6"/>
    </row>
    <row r="356" spans="1:18" ht="15" hidden="1" thickBot="1" x14ac:dyDescent="0.25">
      <c r="A356" s="412"/>
      <c r="B356" s="412"/>
      <c r="C356" s="414"/>
      <c r="D356" s="416"/>
      <c r="E356" s="199"/>
      <c r="F356" s="199"/>
      <c r="G356" s="416"/>
      <c r="H356" s="418"/>
      <c r="I356" s="416"/>
      <c r="J356" s="420"/>
      <c r="K356" s="416"/>
      <c r="L356" s="416"/>
      <c r="M356" s="422"/>
      <c r="N356" s="424"/>
      <c r="O356" s="422"/>
      <c r="P356" s="5"/>
      <c r="Q356" s="6" t="str">
        <f t="shared" si="142"/>
        <v>OKE</v>
      </c>
      <c r="R356" s="6"/>
    </row>
    <row r="357" spans="1:18" ht="15" hidden="1" thickBot="1" x14ac:dyDescent="0.25">
      <c r="A357" s="90"/>
      <c r="B357" s="90"/>
      <c r="C357" s="37"/>
      <c r="D357" s="37"/>
      <c r="E357" s="37"/>
      <c r="F357" s="37"/>
      <c r="G357" s="90"/>
      <c r="H357" s="266"/>
      <c r="I357" s="90"/>
      <c r="J357" s="90"/>
      <c r="K357" s="90"/>
      <c r="L357" s="267"/>
      <c r="M357" s="90"/>
      <c r="N357" s="90"/>
      <c r="O357" s="90"/>
      <c r="P357" s="5"/>
      <c r="Q357" s="6" t="str">
        <f t="shared" si="142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42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42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42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42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42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42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42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42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42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42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42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42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42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42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si="142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ref="Q373:Q436" si="143">IF(M373&lt;=I373,"OKE","Salah")</f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si="143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43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43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43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267"/>
      <c r="M378" s="90"/>
      <c r="N378" s="90"/>
      <c r="O378" s="90"/>
      <c r="P378" s="5"/>
      <c r="Q378" s="6" t="str">
        <f t="shared" si="143"/>
        <v>OKE</v>
      </c>
      <c r="R378" s="6"/>
    </row>
    <row r="379" spans="1:18" ht="14.1" hidden="1" customHeight="1" x14ac:dyDescent="0.2">
      <c r="A379" s="410" t="s">
        <v>0</v>
      </c>
      <c r="B379" s="410"/>
      <c r="C379" s="410"/>
      <c r="D379" s="410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5"/>
      <c r="Q379" s="6" t="str">
        <f t="shared" si="143"/>
        <v>OKE</v>
      </c>
      <c r="R379" s="6"/>
    </row>
    <row r="380" spans="1:18" ht="14.1" hidden="1" customHeight="1" x14ac:dyDescent="0.2">
      <c r="A380" s="410" t="s">
        <v>1</v>
      </c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5"/>
      <c r="Q380" s="6" t="str">
        <f t="shared" si="143"/>
        <v>OKE</v>
      </c>
      <c r="R380" s="6"/>
    </row>
    <row r="381" spans="1:18" ht="14.1" hidden="1" customHeight="1" x14ac:dyDescent="0.2">
      <c r="A381" s="407" t="s">
        <v>111</v>
      </c>
      <c r="B381" s="407"/>
      <c r="C381" s="407"/>
      <c r="D381" s="407"/>
      <c r="E381" s="407"/>
      <c r="F381" s="407"/>
      <c r="G381" s="407"/>
      <c r="H381" s="407"/>
      <c r="I381" s="407"/>
      <c r="J381" s="407"/>
      <c r="K381" s="407"/>
      <c r="L381" s="407"/>
      <c r="M381" s="407"/>
      <c r="N381" s="407"/>
      <c r="O381" s="407"/>
      <c r="P381" s="5"/>
      <c r="Q381" s="6" t="str">
        <f t="shared" si="143"/>
        <v>OKE</v>
      </c>
      <c r="R381" s="6"/>
    </row>
    <row r="382" spans="1:18" ht="14.1" hidden="1" customHeight="1" x14ac:dyDescent="0.2">
      <c r="A382" s="361" t="s">
        <v>2</v>
      </c>
      <c r="B382" s="361" t="s">
        <v>3</v>
      </c>
      <c r="C382" s="361" t="s">
        <v>4</v>
      </c>
      <c r="D382" s="361" t="s">
        <v>5</v>
      </c>
      <c r="E382" s="197"/>
      <c r="F382" s="197"/>
      <c r="G382" s="358" t="s">
        <v>11</v>
      </c>
      <c r="H382" s="359"/>
      <c r="I382" s="359"/>
      <c r="J382" s="360"/>
      <c r="K382" s="358" t="s">
        <v>9</v>
      </c>
      <c r="L382" s="359"/>
      <c r="M382" s="359"/>
      <c r="N382" s="360"/>
      <c r="O382" s="361" t="s">
        <v>10</v>
      </c>
      <c r="P382" s="5"/>
      <c r="Q382" s="6" t="str">
        <f t="shared" si="143"/>
        <v>OKE</v>
      </c>
      <c r="R382" s="6"/>
    </row>
    <row r="383" spans="1:18" ht="14.1" hidden="1" customHeight="1" x14ac:dyDescent="0.2">
      <c r="A383" s="362"/>
      <c r="B383" s="362"/>
      <c r="C383" s="362"/>
      <c r="D383" s="362"/>
      <c r="E383" s="44"/>
      <c r="F383" s="44"/>
      <c r="G383" s="358" t="s">
        <v>74</v>
      </c>
      <c r="H383" s="359"/>
      <c r="I383" s="359"/>
      <c r="J383" s="360"/>
      <c r="K383" s="358" t="s">
        <v>12</v>
      </c>
      <c r="L383" s="359"/>
      <c r="M383" s="359"/>
      <c r="N383" s="360"/>
      <c r="O383" s="362"/>
      <c r="P383" s="5"/>
      <c r="Q383" s="6" t="str">
        <f t="shared" si="143"/>
        <v>OKE</v>
      </c>
      <c r="R383" s="6"/>
    </row>
    <row r="384" spans="1:18" ht="15" hidden="1" thickBot="1" x14ac:dyDescent="0.25">
      <c r="A384" s="378"/>
      <c r="B384" s="378"/>
      <c r="C384" s="378"/>
      <c r="D384" s="378"/>
      <c r="E384" s="196"/>
      <c r="F384" s="196"/>
      <c r="G384" s="144" t="s">
        <v>13</v>
      </c>
      <c r="H384" s="145" t="s">
        <v>14</v>
      </c>
      <c r="I384" s="144" t="s">
        <v>15</v>
      </c>
      <c r="J384" s="144" t="s">
        <v>16</v>
      </c>
      <c r="K384" s="144" t="s">
        <v>13</v>
      </c>
      <c r="L384" s="144" t="s">
        <v>14</v>
      </c>
      <c r="M384" s="144" t="s">
        <v>15</v>
      </c>
      <c r="N384" s="144" t="s">
        <v>16</v>
      </c>
      <c r="O384" s="378"/>
      <c r="P384" s="5"/>
      <c r="Q384" s="6" t="str">
        <f t="shared" si="143"/>
        <v>OKE</v>
      </c>
      <c r="R384" s="6"/>
    </row>
    <row r="385" spans="1:18" ht="15" hidden="1" thickBot="1" x14ac:dyDescent="0.25">
      <c r="A385" s="2">
        <v>1</v>
      </c>
      <c r="B385" s="2">
        <v>2</v>
      </c>
      <c r="C385" s="2">
        <v>3</v>
      </c>
      <c r="D385" s="2">
        <v>4</v>
      </c>
      <c r="E385" s="2"/>
      <c r="F385" s="2"/>
      <c r="G385" s="2">
        <v>5</v>
      </c>
      <c r="H385" s="145">
        <v>6</v>
      </c>
      <c r="I385" s="45" t="s">
        <v>77</v>
      </c>
      <c r="J385" s="45" t="s">
        <v>78</v>
      </c>
      <c r="K385" s="45">
        <v>9</v>
      </c>
      <c r="L385" s="45">
        <v>10</v>
      </c>
      <c r="M385" s="45" t="s">
        <v>79</v>
      </c>
      <c r="N385" s="45" t="s">
        <v>80</v>
      </c>
      <c r="O385" s="45" t="s">
        <v>81</v>
      </c>
      <c r="P385" s="5"/>
      <c r="Q385" s="6" t="str">
        <f t="shared" si="143"/>
        <v>OKE</v>
      </c>
      <c r="R385" s="6"/>
    </row>
    <row r="386" spans="1:18" ht="15" hidden="1" thickBot="1" x14ac:dyDescent="0.25">
      <c r="A386" s="74"/>
      <c r="B386" s="76"/>
      <c r="C386" s="76"/>
      <c r="D386" s="8"/>
      <c r="E386" s="8"/>
      <c r="F386" s="8"/>
      <c r="G386" s="76"/>
      <c r="H386" s="82"/>
      <c r="I386" s="76"/>
      <c r="J386" s="76"/>
      <c r="K386" s="76"/>
      <c r="L386" s="76"/>
      <c r="M386" s="76"/>
      <c r="N386" s="241"/>
      <c r="O386" s="241"/>
      <c r="P386" s="5"/>
      <c r="Q386" s="6" t="str">
        <f t="shared" si="143"/>
        <v>OKE</v>
      </c>
      <c r="R386" s="6"/>
    </row>
    <row r="387" spans="1:18" ht="15" hidden="1" thickBot="1" x14ac:dyDescent="0.25">
      <c r="A387" s="74"/>
      <c r="B387" s="76"/>
      <c r="C387" s="244" t="s">
        <v>97</v>
      </c>
      <c r="D387" s="8"/>
      <c r="E387" s="8"/>
      <c r="F387" s="8"/>
      <c r="G387" s="76"/>
      <c r="H387" s="82"/>
      <c r="I387" s="76"/>
      <c r="J387" s="76"/>
      <c r="K387" s="76"/>
      <c r="L387" s="76"/>
      <c r="M387" s="76"/>
      <c r="N387" s="76"/>
      <c r="O387" s="76"/>
      <c r="P387" s="5"/>
      <c r="Q387" s="6" t="str">
        <f t="shared" si="143"/>
        <v>OKE</v>
      </c>
      <c r="R387" s="6"/>
    </row>
    <row r="388" spans="1:18" ht="15" hidden="1" thickBot="1" x14ac:dyDescent="0.25">
      <c r="A388" s="74"/>
      <c r="B388" s="74"/>
      <c r="C388" s="76"/>
      <c r="D388" s="53"/>
      <c r="E388" s="53"/>
      <c r="F388" s="53"/>
      <c r="G388" s="268"/>
      <c r="H388" s="269"/>
      <c r="I388" s="268"/>
      <c r="J388" s="268"/>
      <c r="K388" s="268"/>
      <c r="L388" s="76"/>
      <c r="M388" s="76"/>
      <c r="N388" s="76"/>
      <c r="O388" s="76"/>
      <c r="P388" s="5"/>
      <c r="Q388" s="6" t="str">
        <f t="shared" si="143"/>
        <v>OKE</v>
      </c>
      <c r="R388" s="6"/>
    </row>
    <row r="389" spans="1:18" ht="15" hidden="1" thickBot="1" x14ac:dyDescent="0.25">
      <c r="A389" s="7" t="s">
        <v>22</v>
      </c>
      <c r="B389" s="7" t="s">
        <v>23</v>
      </c>
      <c r="C389" s="9" t="s">
        <v>45</v>
      </c>
      <c r="D389" s="10">
        <f>+D391+D393+D398+D400+D402+D404+D406+D408</f>
        <v>268080000</v>
      </c>
      <c r="E389" s="10"/>
      <c r="F389" s="10"/>
      <c r="G389" s="10">
        <f>+G391+G393+G398+G400+G402+G404+G406+G408</f>
        <v>133763800</v>
      </c>
      <c r="H389" s="11">
        <f>+H391+H393+H398+H400+H402+H404+H406+H408</f>
        <v>8628300</v>
      </c>
      <c r="I389" s="10">
        <f>+G389+H389</f>
        <v>142392100</v>
      </c>
      <c r="J389" s="12">
        <f>+I389/D389</f>
        <v>0.53115525216353332</v>
      </c>
      <c r="K389" s="10">
        <f>+K391+K393+K398+K400+K402+K404+K406+K408</f>
        <v>114241700</v>
      </c>
      <c r="L389" s="10">
        <f>+L391+L393+L398+L400+L402+L404+L406+L408</f>
        <v>26474800</v>
      </c>
      <c r="M389" s="10">
        <f>+K389+L389</f>
        <v>140716500</v>
      </c>
      <c r="N389" s="12">
        <f>+M389/D389</f>
        <v>0.52490487914055506</v>
      </c>
      <c r="O389" s="10">
        <f>+D389-I389</f>
        <v>125687900</v>
      </c>
      <c r="P389" s="5"/>
      <c r="Q389" s="6" t="str">
        <f t="shared" si="143"/>
        <v>OKE</v>
      </c>
      <c r="R389" s="6"/>
    </row>
    <row r="390" spans="1:18" ht="15" hidden="1" thickBot="1" x14ac:dyDescent="0.25">
      <c r="A390" s="74"/>
      <c r="B390" s="74"/>
      <c r="C390" s="76"/>
      <c r="D390" s="53"/>
      <c r="E390" s="53"/>
      <c r="F390" s="53"/>
      <c r="G390" s="268"/>
      <c r="H390" s="269"/>
      <c r="I390" s="268"/>
      <c r="J390" s="268"/>
      <c r="K390" s="268"/>
      <c r="L390" s="76"/>
      <c r="M390" s="76"/>
      <c r="N390" s="76"/>
      <c r="O390" s="76"/>
      <c r="P390" s="5"/>
      <c r="Q390" s="6" t="str">
        <f t="shared" si="143"/>
        <v>OKE</v>
      </c>
      <c r="R390" s="6"/>
    </row>
    <row r="391" spans="1:18" ht="15" hidden="1" thickBot="1" x14ac:dyDescent="0.25">
      <c r="A391" s="74">
        <v>1</v>
      </c>
      <c r="B391" s="75" t="s">
        <v>43</v>
      </c>
      <c r="C391" s="76" t="s">
        <v>98</v>
      </c>
      <c r="D391" s="15">
        <v>15000000</v>
      </c>
      <c r="E391" s="15"/>
      <c r="F391" s="15"/>
      <c r="G391" s="80">
        <v>11390500</v>
      </c>
      <c r="H391" s="79">
        <v>1097000</v>
      </c>
      <c r="I391" s="15">
        <f>+G391+H391</f>
        <v>12487500</v>
      </c>
      <c r="J391" s="16">
        <f>+I391/D391</f>
        <v>0.83250000000000002</v>
      </c>
      <c r="K391" s="80">
        <v>8898000</v>
      </c>
      <c r="L391" s="80">
        <v>1952000</v>
      </c>
      <c r="M391" s="80">
        <f>+K391+L391</f>
        <v>10850000</v>
      </c>
      <c r="N391" s="16">
        <f>+M391/D391</f>
        <v>0.72333333333333338</v>
      </c>
      <c r="O391" s="80">
        <f>+D391-I391</f>
        <v>2512500</v>
      </c>
      <c r="P391" s="5"/>
      <c r="Q391" s="6" t="str">
        <f t="shared" si="143"/>
        <v>OKE</v>
      </c>
      <c r="R391" s="6"/>
    </row>
    <row r="392" spans="1:18" ht="15" hidden="1" thickBot="1" x14ac:dyDescent="0.25">
      <c r="A392" s="74"/>
      <c r="B392" s="74"/>
      <c r="C392" s="76"/>
      <c r="D392" s="15"/>
      <c r="E392" s="15"/>
      <c r="F392" s="15"/>
      <c r="G392" s="80"/>
      <c r="H392" s="79"/>
      <c r="I392" s="80"/>
      <c r="J392" s="80"/>
      <c r="K392" s="80"/>
      <c r="L392" s="76"/>
      <c r="M392" s="76"/>
      <c r="N392" s="76"/>
      <c r="O392" s="76"/>
      <c r="P392" s="5"/>
      <c r="Q392" s="6" t="str">
        <f t="shared" si="143"/>
        <v>OKE</v>
      </c>
      <c r="R392" s="6"/>
    </row>
    <row r="393" spans="1:18" ht="15" hidden="1" thickBot="1" x14ac:dyDescent="0.25">
      <c r="A393" s="74">
        <v>2</v>
      </c>
      <c r="B393" s="75" t="s">
        <v>39</v>
      </c>
      <c r="C393" s="76" t="s">
        <v>50</v>
      </c>
      <c r="D393" s="15">
        <v>5000000</v>
      </c>
      <c r="E393" s="15"/>
      <c r="F393" s="15"/>
      <c r="G393" s="80">
        <v>4980000</v>
      </c>
      <c r="H393" s="79">
        <v>0</v>
      </c>
      <c r="I393" s="15">
        <f>+G393+H393</f>
        <v>4980000</v>
      </c>
      <c r="J393" s="16">
        <f>+I393/D393</f>
        <v>0.996</v>
      </c>
      <c r="K393" s="80">
        <v>3320000</v>
      </c>
      <c r="L393" s="80">
        <v>1660000</v>
      </c>
      <c r="M393" s="80">
        <f>+K393+L393</f>
        <v>4980000</v>
      </c>
      <c r="N393" s="16">
        <f>+M393/D393</f>
        <v>0.996</v>
      </c>
      <c r="O393" s="80">
        <f>+D393-I393</f>
        <v>20000</v>
      </c>
      <c r="P393" s="5"/>
      <c r="Q393" s="6" t="str">
        <f t="shared" si="143"/>
        <v>OKE</v>
      </c>
      <c r="R393" s="6"/>
    </row>
    <row r="394" spans="1:18" ht="15" hidden="1" thickBot="1" x14ac:dyDescent="0.25">
      <c r="A394" s="74"/>
      <c r="B394" s="75"/>
      <c r="C394" s="76"/>
      <c r="D394" s="15"/>
      <c r="E394" s="15"/>
      <c r="F394" s="15"/>
      <c r="G394" s="80"/>
      <c r="H394" s="79"/>
      <c r="I394" s="15"/>
      <c r="J394" s="16"/>
      <c r="K394" s="80"/>
      <c r="L394" s="80"/>
      <c r="M394" s="80"/>
      <c r="N394" s="16"/>
      <c r="O394" s="80"/>
      <c r="P394" s="5"/>
      <c r="Q394" s="6" t="str">
        <f t="shared" si="143"/>
        <v>OKE</v>
      </c>
      <c r="R394" s="6"/>
    </row>
    <row r="395" spans="1:18" ht="15" hidden="1" thickBot="1" x14ac:dyDescent="0.25">
      <c r="A395" s="74"/>
      <c r="B395" s="18" t="s">
        <v>24</v>
      </c>
      <c r="C395" s="19" t="s">
        <v>25</v>
      </c>
      <c r="D395" s="20">
        <v>77530000</v>
      </c>
      <c r="E395" s="20"/>
      <c r="F395" s="20"/>
      <c r="G395" s="20">
        <v>37840000</v>
      </c>
      <c r="H395" s="21">
        <v>3330000</v>
      </c>
      <c r="I395" s="20">
        <f>+G395+H395</f>
        <v>41170000</v>
      </c>
      <c r="J395" s="22">
        <f>+I395/D395</f>
        <v>0.53102025022571908</v>
      </c>
      <c r="K395" s="20">
        <v>34735000</v>
      </c>
      <c r="L395" s="20">
        <v>2880000</v>
      </c>
      <c r="M395" s="20">
        <f>+K395+L395</f>
        <v>37615000</v>
      </c>
      <c r="N395" s="22">
        <f>+M395/D395</f>
        <v>0.48516703211660001</v>
      </c>
      <c r="O395" s="20">
        <f>+D395-I395</f>
        <v>36360000</v>
      </c>
      <c r="P395" s="5"/>
      <c r="Q395" s="6" t="str">
        <f t="shared" si="143"/>
        <v>OKE</v>
      </c>
      <c r="R395" s="6"/>
    </row>
    <row r="396" spans="1:18" ht="15" hidden="1" thickBot="1" x14ac:dyDescent="0.25">
      <c r="A396" s="74"/>
      <c r="B396" s="18" t="s">
        <v>24</v>
      </c>
      <c r="C396" s="19" t="s">
        <v>28</v>
      </c>
      <c r="D396" s="20">
        <v>-34450000</v>
      </c>
      <c r="E396" s="20"/>
      <c r="F396" s="20"/>
      <c r="G396" s="20"/>
      <c r="H396" s="21">
        <v>-9800000</v>
      </c>
      <c r="I396" s="20"/>
      <c r="J396" s="22"/>
      <c r="K396" s="20"/>
      <c r="L396" s="20">
        <v>-9800000</v>
      </c>
      <c r="M396" s="20"/>
      <c r="N396" s="22"/>
      <c r="O396" s="20"/>
      <c r="P396" s="5"/>
      <c r="Q396" s="6" t="str">
        <f t="shared" si="143"/>
        <v>OKE</v>
      </c>
      <c r="R396" s="6"/>
    </row>
    <row r="397" spans="1:18" ht="15" hidden="1" thickBot="1" x14ac:dyDescent="0.25">
      <c r="A397" s="74"/>
      <c r="B397" s="74"/>
      <c r="C397" s="76"/>
      <c r="D397" s="15"/>
      <c r="E397" s="15"/>
      <c r="F397" s="15"/>
      <c r="G397" s="80"/>
      <c r="H397" s="79"/>
      <c r="I397" s="15"/>
      <c r="J397" s="16"/>
      <c r="K397" s="80"/>
      <c r="L397" s="76"/>
      <c r="M397" s="80"/>
      <c r="N397" s="16"/>
      <c r="O397" s="80"/>
      <c r="P397" s="5"/>
      <c r="Q397" s="6" t="str">
        <f t="shared" si="143"/>
        <v>OKE</v>
      </c>
      <c r="R397" s="6"/>
    </row>
    <row r="398" spans="1:18" ht="15" hidden="1" thickBot="1" x14ac:dyDescent="0.25">
      <c r="A398" s="74">
        <v>4</v>
      </c>
      <c r="B398" s="75" t="s">
        <v>24</v>
      </c>
      <c r="C398" s="76" t="s">
        <v>25</v>
      </c>
      <c r="D398" s="15">
        <v>43080000</v>
      </c>
      <c r="E398" s="15"/>
      <c r="F398" s="15"/>
      <c r="G398" s="80">
        <v>38030000</v>
      </c>
      <c r="H398" s="79">
        <v>0</v>
      </c>
      <c r="I398" s="15">
        <f>+G398+H398</f>
        <v>38030000</v>
      </c>
      <c r="J398" s="16">
        <f>+I398/D398</f>
        <v>0.88277623026926644</v>
      </c>
      <c r="K398" s="80">
        <v>31370000</v>
      </c>
      <c r="L398" s="80">
        <v>6660000</v>
      </c>
      <c r="M398" s="80">
        <f>+K398+L398</f>
        <v>38030000</v>
      </c>
      <c r="N398" s="16">
        <f>+M398/D398</f>
        <v>0.88277623026926644</v>
      </c>
      <c r="O398" s="80">
        <f>+D398-I398</f>
        <v>5050000</v>
      </c>
      <c r="P398" s="5"/>
      <c r="Q398" s="6" t="str">
        <f t="shared" si="143"/>
        <v>OKE</v>
      </c>
      <c r="R398" s="6"/>
    </row>
    <row r="399" spans="1:18" ht="15" hidden="1" thickBot="1" x14ac:dyDescent="0.25">
      <c r="A399" s="74"/>
      <c r="B399" s="74"/>
      <c r="C399" s="76"/>
      <c r="D399" s="15"/>
      <c r="E399" s="15"/>
      <c r="F399" s="15"/>
      <c r="G399" s="80"/>
      <c r="H399" s="79"/>
      <c r="I399" s="80"/>
      <c r="J399" s="80"/>
      <c r="K399" s="80"/>
      <c r="L399" s="76"/>
      <c r="M399" s="76"/>
      <c r="N399" s="76"/>
      <c r="O399" s="76"/>
      <c r="P399" s="5"/>
      <c r="Q399" s="6" t="str">
        <f t="shared" si="143"/>
        <v>OKE</v>
      </c>
      <c r="R399" s="6"/>
    </row>
    <row r="400" spans="1:18" ht="15" hidden="1" thickBot="1" x14ac:dyDescent="0.25">
      <c r="A400" s="74">
        <v>5</v>
      </c>
      <c r="B400" s="75" t="s">
        <v>46</v>
      </c>
      <c r="C400" s="76" t="s">
        <v>47</v>
      </c>
      <c r="D400" s="15">
        <v>30000000</v>
      </c>
      <c r="E400" s="15"/>
      <c r="F400" s="15"/>
      <c r="G400" s="80">
        <v>15789600</v>
      </c>
      <c r="H400" s="79">
        <v>1434200</v>
      </c>
      <c r="I400" s="15">
        <f>+G400+H400</f>
        <v>17223800</v>
      </c>
      <c r="J400" s="16">
        <f>+I400/D400</f>
        <v>0.57412666666666667</v>
      </c>
      <c r="K400" s="80">
        <v>14316300</v>
      </c>
      <c r="L400" s="80">
        <v>2869400</v>
      </c>
      <c r="M400" s="80">
        <f>+K400+L400</f>
        <v>17185700</v>
      </c>
      <c r="N400" s="16">
        <f>+M400/D400</f>
        <v>0.57285666666666668</v>
      </c>
      <c r="O400" s="80">
        <f>+D400-I400</f>
        <v>12776200</v>
      </c>
      <c r="P400" s="5"/>
      <c r="Q400" s="6" t="str">
        <f t="shared" si="143"/>
        <v>OKE</v>
      </c>
      <c r="R400" s="6"/>
    </row>
    <row r="401" spans="1:18" ht="15" hidden="1" thickBot="1" x14ac:dyDescent="0.25">
      <c r="A401" s="74"/>
      <c r="B401" s="74"/>
      <c r="C401" s="76"/>
      <c r="D401" s="15"/>
      <c r="E401" s="15"/>
      <c r="F401" s="15"/>
      <c r="G401" s="80"/>
      <c r="H401" s="79"/>
      <c r="I401" s="80"/>
      <c r="J401" s="80"/>
      <c r="K401" s="80"/>
      <c r="L401" s="76"/>
      <c r="M401" s="76"/>
      <c r="N401" s="76"/>
      <c r="O401" s="76"/>
      <c r="P401" s="5"/>
      <c r="Q401" s="6" t="str">
        <f t="shared" si="143"/>
        <v>OKE</v>
      </c>
      <c r="R401" s="6"/>
    </row>
    <row r="402" spans="1:18" ht="15" hidden="1" thickBot="1" x14ac:dyDescent="0.25">
      <c r="A402" s="74">
        <v>6</v>
      </c>
      <c r="B402" s="75" t="s">
        <v>26</v>
      </c>
      <c r="C402" s="76" t="s">
        <v>27</v>
      </c>
      <c r="D402" s="15">
        <v>98400000</v>
      </c>
      <c r="E402" s="15"/>
      <c r="F402" s="15"/>
      <c r="G402" s="80">
        <v>27741800</v>
      </c>
      <c r="H402" s="79">
        <v>1373600</v>
      </c>
      <c r="I402" s="15">
        <f>+G402+H402</f>
        <v>29115400</v>
      </c>
      <c r="J402" s="16">
        <f>+I402/D402</f>
        <v>0.2958882113821138</v>
      </c>
      <c r="K402" s="80">
        <v>26392700</v>
      </c>
      <c r="L402" s="80">
        <v>2722700</v>
      </c>
      <c r="M402" s="80">
        <f>+K402+L402</f>
        <v>29115400</v>
      </c>
      <c r="N402" s="16">
        <f>+M402/D402</f>
        <v>0.2958882113821138</v>
      </c>
      <c r="O402" s="80">
        <f>+D402-I402</f>
        <v>69284600</v>
      </c>
      <c r="P402" s="5"/>
      <c r="Q402" s="6" t="str">
        <f t="shared" si="143"/>
        <v>OKE</v>
      </c>
      <c r="R402" s="6"/>
    </row>
    <row r="403" spans="1:18" ht="15" hidden="1" thickBot="1" x14ac:dyDescent="0.25">
      <c r="A403" s="74"/>
      <c r="B403" s="75"/>
      <c r="C403" s="76"/>
      <c r="D403" s="15"/>
      <c r="E403" s="15"/>
      <c r="F403" s="15"/>
      <c r="G403" s="80"/>
      <c r="H403" s="79"/>
      <c r="I403" s="10"/>
      <c r="J403" s="16"/>
      <c r="K403" s="80"/>
      <c r="L403" s="93"/>
      <c r="M403" s="80"/>
      <c r="N403" s="16"/>
      <c r="O403" s="80"/>
      <c r="P403" s="5"/>
      <c r="Q403" s="6" t="str">
        <f t="shared" si="143"/>
        <v>OKE</v>
      </c>
      <c r="R403" s="6"/>
    </row>
    <row r="404" spans="1:18" ht="15" hidden="1" thickBot="1" x14ac:dyDescent="0.25">
      <c r="A404" s="74">
        <v>7</v>
      </c>
      <c r="B404" s="75" t="s">
        <v>44</v>
      </c>
      <c r="C404" s="76" t="s">
        <v>57</v>
      </c>
      <c r="D404" s="15">
        <v>5000000</v>
      </c>
      <c r="E404" s="15"/>
      <c r="F404" s="15"/>
      <c r="G404" s="80">
        <v>4999000</v>
      </c>
      <c r="H404" s="79">
        <v>0</v>
      </c>
      <c r="I404" s="15">
        <f>+G404+H404</f>
        <v>4999000</v>
      </c>
      <c r="J404" s="16">
        <v>0.999</v>
      </c>
      <c r="K404" s="80">
        <v>3953500</v>
      </c>
      <c r="L404" s="80">
        <v>1045500</v>
      </c>
      <c r="M404" s="80">
        <f>+K404+L404</f>
        <v>4999000</v>
      </c>
      <c r="N404" s="16">
        <f>+M404/D404</f>
        <v>0.99980000000000002</v>
      </c>
      <c r="O404" s="80">
        <f>+D404-I404</f>
        <v>1000</v>
      </c>
      <c r="P404" s="5"/>
      <c r="Q404" s="6" t="str">
        <f t="shared" si="143"/>
        <v>OKE</v>
      </c>
      <c r="R404" s="6"/>
    </row>
    <row r="405" spans="1:18" ht="15" hidden="1" thickBot="1" x14ac:dyDescent="0.25">
      <c r="A405" s="74"/>
      <c r="B405" s="74"/>
      <c r="C405" s="76"/>
      <c r="D405" s="15"/>
      <c r="E405" s="15"/>
      <c r="F405" s="15"/>
      <c r="G405" s="80"/>
      <c r="H405" s="79"/>
      <c r="I405" s="80"/>
      <c r="J405" s="80"/>
      <c r="K405" s="80"/>
      <c r="L405" s="76"/>
      <c r="M405" s="76"/>
      <c r="N405" s="76"/>
      <c r="O405" s="76"/>
      <c r="P405" s="5"/>
      <c r="Q405" s="6" t="str">
        <f t="shared" si="143"/>
        <v>OKE</v>
      </c>
      <c r="R405" s="6"/>
    </row>
    <row r="406" spans="1:18" ht="15" hidden="1" thickBot="1" x14ac:dyDescent="0.25">
      <c r="A406" s="74">
        <v>8</v>
      </c>
      <c r="B406" s="75" t="s">
        <v>29</v>
      </c>
      <c r="C406" s="76" t="s">
        <v>30</v>
      </c>
      <c r="D406" s="15">
        <v>51600000</v>
      </c>
      <c r="E406" s="15"/>
      <c r="F406" s="15"/>
      <c r="G406" s="80">
        <v>13832900</v>
      </c>
      <c r="H406" s="79">
        <v>1723500</v>
      </c>
      <c r="I406" s="15">
        <f>+G406+H406</f>
        <v>15556400</v>
      </c>
      <c r="J406" s="16">
        <f>+I406/D406</f>
        <v>0.30148062015503874</v>
      </c>
      <c r="K406" s="80">
        <v>12211200</v>
      </c>
      <c r="L406" s="80">
        <v>3345200</v>
      </c>
      <c r="M406" s="80">
        <f>+K406+L406</f>
        <v>15556400</v>
      </c>
      <c r="N406" s="16">
        <f>+M406/D406</f>
        <v>0.30148062015503874</v>
      </c>
      <c r="O406" s="80">
        <f>+D406-I406</f>
        <v>36043600</v>
      </c>
      <c r="P406" s="5"/>
      <c r="Q406" s="6" t="str">
        <f t="shared" si="143"/>
        <v>OKE</v>
      </c>
      <c r="R406" s="6"/>
    </row>
    <row r="407" spans="1:18" ht="15" hidden="1" thickBot="1" x14ac:dyDescent="0.25">
      <c r="A407" s="74"/>
      <c r="B407" s="74"/>
      <c r="C407" s="76"/>
      <c r="D407" s="15"/>
      <c r="E407" s="15"/>
      <c r="F407" s="15"/>
      <c r="G407" s="80"/>
      <c r="H407" s="79"/>
      <c r="I407" s="80"/>
      <c r="J407" s="80"/>
      <c r="K407" s="80"/>
      <c r="L407" s="76"/>
      <c r="M407" s="76"/>
      <c r="N407" s="76"/>
      <c r="O407" s="76"/>
      <c r="P407" s="5"/>
      <c r="Q407" s="6" t="str">
        <f t="shared" si="143"/>
        <v>OKE</v>
      </c>
      <c r="R407" s="6"/>
    </row>
    <row r="408" spans="1:18" ht="15" hidden="1" thickBot="1" x14ac:dyDescent="0.25">
      <c r="A408" s="74">
        <v>9</v>
      </c>
      <c r="B408" s="75" t="s">
        <v>62</v>
      </c>
      <c r="C408" s="76" t="s">
        <v>68</v>
      </c>
      <c r="D408" s="15">
        <v>20000000</v>
      </c>
      <c r="E408" s="15"/>
      <c r="F408" s="15"/>
      <c r="G408" s="80">
        <v>17000000</v>
      </c>
      <c r="H408" s="79">
        <v>3000000</v>
      </c>
      <c r="I408" s="15">
        <f>+G408+H408</f>
        <v>20000000</v>
      </c>
      <c r="J408" s="16">
        <f>+I408/D408</f>
        <v>1</v>
      </c>
      <c r="K408" s="80">
        <v>13780000</v>
      </c>
      <c r="L408" s="80">
        <v>6220000</v>
      </c>
      <c r="M408" s="80">
        <f>+K408+L408</f>
        <v>20000000</v>
      </c>
      <c r="N408" s="16">
        <f>+M408/D408</f>
        <v>1</v>
      </c>
      <c r="O408" s="80">
        <f>+D408-I408</f>
        <v>0</v>
      </c>
      <c r="P408" s="5"/>
      <c r="Q408" s="6" t="str">
        <f t="shared" si="143"/>
        <v>OKE</v>
      </c>
      <c r="R408" s="6"/>
    </row>
    <row r="409" spans="1:18" ht="15" hidden="1" thickBot="1" x14ac:dyDescent="0.25">
      <c r="A409" s="74"/>
      <c r="B409" s="74"/>
      <c r="C409" s="76"/>
      <c r="D409" s="15"/>
      <c r="E409" s="15"/>
      <c r="F409" s="15"/>
      <c r="G409" s="80"/>
      <c r="H409" s="79"/>
      <c r="I409" s="80"/>
      <c r="J409" s="80"/>
      <c r="K409" s="80"/>
      <c r="L409" s="76"/>
      <c r="M409" s="76"/>
      <c r="N409" s="76"/>
      <c r="O409" s="76"/>
      <c r="P409" s="5"/>
      <c r="Q409" s="6" t="str">
        <f t="shared" si="143"/>
        <v>OKE</v>
      </c>
      <c r="R409" s="6"/>
    </row>
    <row r="410" spans="1:18" ht="15" hidden="1" thickBot="1" x14ac:dyDescent="0.25">
      <c r="A410" s="74"/>
      <c r="B410" s="74"/>
      <c r="C410" s="9" t="s">
        <v>48</v>
      </c>
      <c r="D410" s="10">
        <f>+D408+D406+D404+D402+D400+D398+D393+D391</f>
        <v>268080000</v>
      </c>
      <c r="E410" s="10"/>
      <c r="F410" s="10"/>
      <c r="G410" s="10">
        <f>+G408+G406+G404+G402+G400+G398+G393+G391</f>
        <v>133763800</v>
      </c>
      <c r="H410" s="11">
        <f>+H408+H406+H404+H402+H400+H398+H393+H391</f>
        <v>8628300</v>
      </c>
      <c r="I410" s="10">
        <f>+G410+H410</f>
        <v>142392100</v>
      </c>
      <c r="J410" s="12">
        <f>+I410/D410</f>
        <v>0.53115525216353332</v>
      </c>
      <c r="K410" s="10">
        <f>+K408+K406+K404+K402+K400+K398+K393+K391</f>
        <v>114241700</v>
      </c>
      <c r="L410" s="10">
        <f>+L408+L406+L404+L402+L400+L398+L393+L391</f>
        <v>26474800</v>
      </c>
      <c r="M410" s="10">
        <f>+K410+L410</f>
        <v>140716500</v>
      </c>
      <c r="N410" s="12">
        <f>+M410/D410</f>
        <v>0.52490487914055506</v>
      </c>
      <c r="O410" s="10">
        <f>+D410-I410</f>
        <v>125687900</v>
      </c>
      <c r="P410" s="5"/>
      <c r="Q410" s="6" t="str">
        <f t="shared" si="143"/>
        <v>OKE</v>
      </c>
      <c r="R410" s="6"/>
    </row>
    <row r="411" spans="1:18" ht="15" hidden="1" thickBot="1" x14ac:dyDescent="0.25">
      <c r="A411" s="85"/>
      <c r="B411" s="85"/>
      <c r="C411" s="34" t="s">
        <v>31</v>
      </c>
      <c r="D411" s="35"/>
      <c r="E411" s="35"/>
      <c r="F411" s="35"/>
      <c r="G411" s="259"/>
      <c r="H411" s="260"/>
      <c r="I411" s="259"/>
      <c r="J411" s="259"/>
      <c r="K411" s="259"/>
      <c r="L411" s="261"/>
      <c r="M411" s="261"/>
      <c r="N411" s="261"/>
      <c r="O411" s="261"/>
      <c r="P411" s="5"/>
      <c r="Q411" s="6" t="str">
        <f t="shared" si="143"/>
        <v>OKE</v>
      </c>
      <c r="R411" s="6"/>
    </row>
    <row r="412" spans="1:18" ht="15" hidden="1" thickBot="1" x14ac:dyDescent="0.25">
      <c r="A412" s="74"/>
      <c r="B412" s="74"/>
      <c r="C412" s="76"/>
      <c r="D412" s="15"/>
      <c r="E412" s="15"/>
      <c r="F412" s="15"/>
      <c r="G412" s="80"/>
      <c r="H412" s="79"/>
      <c r="I412" s="80"/>
      <c r="J412" s="80"/>
      <c r="K412" s="80"/>
      <c r="L412" s="76"/>
      <c r="M412" s="76"/>
      <c r="N412" s="76"/>
      <c r="O412" s="76"/>
      <c r="P412" s="5"/>
      <c r="Q412" s="6" t="str">
        <f t="shared" si="143"/>
        <v>OKE</v>
      </c>
      <c r="R412" s="6"/>
    </row>
    <row r="413" spans="1:18" ht="15" hidden="1" thickBot="1" x14ac:dyDescent="0.25">
      <c r="A413" s="7" t="s">
        <v>32</v>
      </c>
      <c r="B413" s="7" t="s">
        <v>33</v>
      </c>
      <c r="C413" s="9" t="s">
        <v>64</v>
      </c>
      <c r="D413" s="10">
        <f>+D416</f>
        <v>10000000</v>
      </c>
      <c r="E413" s="10"/>
      <c r="F413" s="10"/>
      <c r="G413" s="10">
        <f>+G416</f>
        <v>8500000</v>
      </c>
      <c r="H413" s="11">
        <f>+H416</f>
        <v>0</v>
      </c>
      <c r="I413" s="10">
        <f>+G413+H413</f>
        <v>8500000</v>
      </c>
      <c r="J413" s="12">
        <f>+I413/D413</f>
        <v>0.85</v>
      </c>
      <c r="K413" s="10">
        <f>+K416</f>
        <v>6435000</v>
      </c>
      <c r="L413" s="10">
        <f>+L416</f>
        <v>2420000</v>
      </c>
      <c r="M413" s="10">
        <f>+K413+L413</f>
        <v>8855000</v>
      </c>
      <c r="N413" s="12">
        <f>+M413/D413</f>
        <v>0.88549999999999995</v>
      </c>
      <c r="O413" s="10">
        <f>+D413-I413</f>
        <v>1500000</v>
      </c>
      <c r="P413" s="5"/>
      <c r="Q413" s="6" t="str">
        <f t="shared" si="143"/>
        <v>Salah</v>
      </c>
      <c r="R413" s="6"/>
    </row>
    <row r="414" spans="1:18" ht="15" hidden="1" thickBot="1" x14ac:dyDescent="0.25">
      <c r="A414" s="74"/>
      <c r="B414" s="74"/>
      <c r="C414" s="9" t="s">
        <v>49</v>
      </c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si="143"/>
        <v>OKE</v>
      </c>
      <c r="R414" s="6"/>
    </row>
    <row r="415" spans="1:18" ht="15" hidden="1" thickBot="1" x14ac:dyDescent="0.25">
      <c r="A415" s="74"/>
      <c r="B415" s="74"/>
      <c r="C415" s="76"/>
      <c r="D415" s="15"/>
      <c r="E415" s="15"/>
      <c r="F415" s="15"/>
      <c r="G415" s="80"/>
      <c r="H415" s="79"/>
      <c r="I415" s="80"/>
      <c r="J415" s="80"/>
      <c r="K415" s="80"/>
      <c r="L415" s="76"/>
      <c r="M415" s="76"/>
      <c r="N415" s="76"/>
      <c r="O415" s="76"/>
      <c r="P415" s="5"/>
      <c r="Q415" s="6" t="str">
        <f t="shared" si="143"/>
        <v>OKE</v>
      </c>
      <c r="R415" s="6"/>
    </row>
    <row r="416" spans="1:18" ht="15" hidden="1" thickBot="1" x14ac:dyDescent="0.25">
      <c r="A416" s="74">
        <v>10</v>
      </c>
      <c r="B416" s="75" t="s">
        <v>61</v>
      </c>
      <c r="C416" s="8" t="s">
        <v>99</v>
      </c>
      <c r="D416" s="15">
        <v>10000000</v>
      </c>
      <c r="E416" s="15"/>
      <c r="F416" s="15"/>
      <c r="G416" s="80">
        <v>8500000</v>
      </c>
      <c r="H416" s="79">
        <v>0</v>
      </c>
      <c r="I416" s="15">
        <f>+G416+H416</f>
        <v>8500000</v>
      </c>
      <c r="J416" s="16">
        <f>+I416/D416</f>
        <v>0.85</v>
      </c>
      <c r="K416" s="80">
        <v>6435000</v>
      </c>
      <c r="L416" s="80">
        <v>2420000</v>
      </c>
      <c r="M416" s="80">
        <f>+K416+L416</f>
        <v>8855000</v>
      </c>
      <c r="N416" s="16">
        <f>+M416/D416</f>
        <v>0.88549999999999995</v>
      </c>
      <c r="O416" s="80">
        <f>+D416-I416</f>
        <v>1500000</v>
      </c>
      <c r="P416" s="5"/>
      <c r="Q416" s="6" t="str">
        <f t="shared" si="143"/>
        <v>Salah</v>
      </c>
      <c r="R416" s="6"/>
    </row>
    <row r="417" spans="1:18" ht="15" hidden="1" thickBot="1" x14ac:dyDescent="0.25">
      <c r="A417" s="74"/>
      <c r="B417" s="74"/>
      <c r="C417" s="76"/>
      <c r="D417" s="15"/>
      <c r="E417" s="15"/>
      <c r="F417" s="15"/>
      <c r="G417" s="80"/>
      <c r="H417" s="79"/>
      <c r="I417" s="80"/>
      <c r="J417" s="80"/>
      <c r="K417" s="80"/>
      <c r="L417" s="76"/>
      <c r="M417" s="76"/>
      <c r="N417" s="76"/>
      <c r="O417" s="76"/>
      <c r="P417" s="5"/>
      <c r="Q417" s="6" t="str">
        <f t="shared" si="143"/>
        <v>OKE</v>
      </c>
      <c r="R417" s="6"/>
    </row>
    <row r="418" spans="1:18" ht="15" hidden="1" thickBot="1" x14ac:dyDescent="0.25">
      <c r="A418" s="74"/>
      <c r="B418" s="74"/>
      <c r="C418" s="9" t="s">
        <v>65</v>
      </c>
      <c r="D418" s="10">
        <f>+D416</f>
        <v>10000000</v>
      </c>
      <c r="E418" s="10"/>
      <c r="F418" s="10"/>
      <c r="G418" s="10">
        <f>+G416</f>
        <v>8500000</v>
      </c>
      <c r="H418" s="11">
        <f>+H416</f>
        <v>0</v>
      </c>
      <c r="I418" s="10">
        <f>+G418+H418</f>
        <v>8500000</v>
      </c>
      <c r="J418" s="12">
        <f>+I418/D418</f>
        <v>0.85</v>
      </c>
      <c r="K418" s="10">
        <f>+K416</f>
        <v>6435000</v>
      </c>
      <c r="L418" s="10">
        <f>+L416</f>
        <v>2420000</v>
      </c>
      <c r="M418" s="10">
        <f>+K418+L418</f>
        <v>8855000</v>
      </c>
      <c r="N418" s="12">
        <f>+M418/D418</f>
        <v>0.88549999999999995</v>
      </c>
      <c r="O418" s="10">
        <f>+D418-I418</f>
        <v>1500000</v>
      </c>
      <c r="P418" s="5"/>
      <c r="Q418" s="6" t="str">
        <f t="shared" si="143"/>
        <v>Salah</v>
      </c>
      <c r="R418" s="6"/>
    </row>
    <row r="419" spans="1:18" ht="15" hidden="1" thickBot="1" x14ac:dyDescent="0.25">
      <c r="A419" s="81"/>
      <c r="B419" s="81"/>
      <c r="C419" s="23" t="s">
        <v>66</v>
      </c>
      <c r="D419" s="32"/>
      <c r="E419" s="32"/>
      <c r="F419" s="32"/>
      <c r="G419" s="252"/>
      <c r="H419" s="253"/>
      <c r="I419" s="252"/>
      <c r="J419" s="252"/>
      <c r="K419" s="252"/>
      <c r="L419" s="251"/>
      <c r="M419" s="251"/>
      <c r="N419" s="251"/>
      <c r="O419" s="251"/>
      <c r="P419" s="5"/>
      <c r="Q419" s="6" t="str">
        <f t="shared" si="143"/>
        <v>OKE</v>
      </c>
      <c r="R419" s="6"/>
    </row>
    <row r="420" spans="1:18" ht="15" hidden="1" thickBot="1" x14ac:dyDescent="0.25">
      <c r="B420" s="88"/>
      <c r="C420" s="26"/>
      <c r="D420" s="31"/>
      <c r="E420" s="31"/>
      <c r="F420" s="31"/>
      <c r="G420" s="179"/>
      <c r="H420" s="258"/>
      <c r="I420" s="179"/>
      <c r="J420" s="179"/>
      <c r="K420" s="179"/>
      <c r="L420" s="77"/>
      <c r="M420" s="77"/>
      <c r="N420" s="77"/>
      <c r="O420" s="77"/>
      <c r="P420" s="5"/>
      <c r="Q420" s="6" t="str">
        <f t="shared" si="143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43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3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3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3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3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3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3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3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3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3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3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3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3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3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3"/>
        <v>OKE</v>
      </c>
      <c r="R435" s="6"/>
    </row>
    <row r="436" spans="1:18" ht="14.1" hidden="1" customHeight="1" x14ac:dyDescent="0.2">
      <c r="A436" s="361" t="s">
        <v>2</v>
      </c>
      <c r="B436" s="361" t="s">
        <v>3</v>
      </c>
      <c r="C436" s="361" t="s">
        <v>4</v>
      </c>
      <c r="D436" s="361" t="s">
        <v>5</v>
      </c>
      <c r="E436" s="197"/>
      <c r="F436" s="197"/>
      <c r="G436" s="358" t="s">
        <v>11</v>
      </c>
      <c r="H436" s="359"/>
      <c r="I436" s="359"/>
      <c r="J436" s="360"/>
      <c r="K436" s="358" t="s">
        <v>9</v>
      </c>
      <c r="L436" s="359"/>
      <c r="M436" s="359"/>
      <c r="N436" s="360"/>
      <c r="O436" s="361" t="s">
        <v>10</v>
      </c>
      <c r="P436" s="5"/>
      <c r="Q436" s="6" t="str">
        <f t="shared" si="143"/>
        <v>OKE</v>
      </c>
      <c r="R436" s="6"/>
    </row>
    <row r="437" spans="1:18" ht="14.1" hidden="1" customHeight="1" x14ac:dyDescent="0.2">
      <c r="A437" s="362"/>
      <c r="B437" s="362"/>
      <c r="C437" s="362"/>
      <c r="D437" s="362"/>
      <c r="E437" s="44"/>
      <c r="F437" s="44"/>
      <c r="G437" s="358" t="s">
        <v>74</v>
      </c>
      <c r="H437" s="359"/>
      <c r="I437" s="359"/>
      <c r="J437" s="360"/>
      <c r="K437" s="358" t="s">
        <v>12</v>
      </c>
      <c r="L437" s="359"/>
      <c r="M437" s="359"/>
      <c r="N437" s="360"/>
      <c r="O437" s="362"/>
      <c r="P437" s="5"/>
      <c r="Q437" s="6" t="str">
        <f t="shared" ref="Q437:Q461" si="144">IF(M437&lt;=I437,"OKE","Salah")</f>
        <v>OKE</v>
      </c>
      <c r="R437" s="6"/>
    </row>
    <row r="438" spans="1:18" ht="14.1" hidden="1" customHeight="1" x14ac:dyDescent="0.2">
      <c r="A438" s="378"/>
      <c r="B438" s="378"/>
      <c r="C438" s="378"/>
      <c r="D438" s="378"/>
      <c r="E438" s="196"/>
      <c r="F438" s="196"/>
      <c r="G438" s="144" t="s">
        <v>13</v>
      </c>
      <c r="H438" s="145" t="s">
        <v>14</v>
      </c>
      <c r="I438" s="144" t="s">
        <v>15</v>
      </c>
      <c r="J438" s="144" t="s">
        <v>16</v>
      </c>
      <c r="K438" s="144" t="s">
        <v>13</v>
      </c>
      <c r="L438" s="144" t="s">
        <v>14</v>
      </c>
      <c r="M438" s="144" t="s">
        <v>15</v>
      </c>
      <c r="N438" s="144" t="s">
        <v>16</v>
      </c>
      <c r="O438" s="378"/>
      <c r="P438" s="5"/>
      <c r="Q438" s="6" t="str">
        <f t="shared" si="144"/>
        <v>OKE</v>
      </c>
      <c r="R438" s="6"/>
    </row>
    <row r="439" spans="1:18" ht="15" hidden="1" thickBot="1" x14ac:dyDescent="0.25">
      <c r="A439" s="2">
        <v>1</v>
      </c>
      <c r="B439" s="2">
        <v>2</v>
      </c>
      <c r="C439" s="2">
        <v>3</v>
      </c>
      <c r="D439" s="2">
        <v>4</v>
      </c>
      <c r="E439" s="2"/>
      <c r="F439" s="2"/>
      <c r="G439" s="2">
        <v>5</v>
      </c>
      <c r="H439" s="145">
        <v>6</v>
      </c>
      <c r="I439" s="45" t="s">
        <v>77</v>
      </c>
      <c r="J439" s="45" t="s">
        <v>78</v>
      </c>
      <c r="K439" s="45">
        <v>9</v>
      </c>
      <c r="L439" s="45">
        <v>10</v>
      </c>
      <c r="M439" s="45" t="s">
        <v>79</v>
      </c>
      <c r="N439" s="45" t="s">
        <v>80</v>
      </c>
      <c r="O439" s="45" t="s">
        <v>81</v>
      </c>
      <c r="P439" s="5"/>
      <c r="Q439" s="6" t="str">
        <f t="shared" si="144"/>
        <v>OKE</v>
      </c>
      <c r="R439" s="6"/>
    </row>
    <row r="440" spans="1:18" ht="15" hidden="1" thickBot="1" x14ac:dyDescent="0.25">
      <c r="A440" s="74"/>
      <c r="B440" s="76"/>
      <c r="C440" s="76"/>
      <c r="D440" s="8"/>
      <c r="E440" s="8"/>
      <c r="F440" s="8"/>
      <c r="G440" s="76"/>
      <c r="H440" s="82"/>
      <c r="I440" s="76"/>
      <c r="J440" s="76"/>
      <c r="K440" s="76"/>
      <c r="L440" s="76"/>
      <c r="M440" s="76"/>
      <c r="N440" s="241"/>
      <c r="O440" s="241"/>
      <c r="P440" s="5"/>
      <c r="Q440" s="6" t="str">
        <f t="shared" si="144"/>
        <v>OKE</v>
      </c>
      <c r="R440" s="6"/>
    </row>
    <row r="441" spans="1:18" ht="15" hidden="1" thickBot="1" x14ac:dyDescent="0.25">
      <c r="A441" s="74"/>
      <c r="B441" s="76"/>
      <c r="C441" s="244" t="s">
        <v>97</v>
      </c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76"/>
      <c r="O441" s="76"/>
      <c r="P441" s="5"/>
      <c r="Q441" s="6" t="str">
        <f t="shared" si="144"/>
        <v>OKE</v>
      </c>
      <c r="R441" s="6"/>
    </row>
    <row r="442" spans="1:18" ht="15" hidden="1" thickBot="1" x14ac:dyDescent="0.25">
      <c r="A442" s="74"/>
      <c r="B442" s="76"/>
      <c r="C442" s="76"/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76"/>
      <c r="O442" s="76"/>
      <c r="P442" s="5"/>
      <c r="Q442" s="6" t="str">
        <f t="shared" si="144"/>
        <v>OKE</v>
      </c>
      <c r="R442" s="6"/>
    </row>
    <row r="443" spans="1:18" ht="15" hidden="1" thickBot="1" x14ac:dyDescent="0.25">
      <c r="A443" s="7" t="s">
        <v>36</v>
      </c>
      <c r="B443" s="7" t="s">
        <v>51</v>
      </c>
      <c r="C443" s="9" t="s">
        <v>100</v>
      </c>
      <c r="D443" s="10">
        <f>+D445+D447</f>
        <v>65000000</v>
      </c>
      <c r="E443" s="10"/>
      <c r="F443" s="10"/>
      <c r="G443" s="10">
        <f>+G445+G447</f>
        <v>63849900</v>
      </c>
      <c r="H443" s="11">
        <f>+H445+H447</f>
        <v>0</v>
      </c>
      <c r="I443" s="10">
        <f>+G443+H443</f>
        <v>63849900</v>
      </c>
      <c r="J443" s="12">
        <f>+I443/D443</f>
        <v>0.98230615384615383</v>
      </c>
      <c r="K443" s="10">
        <f>+K445+K447</f>
        <v>60979900</v>
      </c>
      <c r="L443" s="10">
        <f>+L445+L447</f>
        <v>2675000</v>
      </c>
      <c r="M443" s="10">
        <f>+K443+L443</f>
        <v>63654900</v>
      </c>
      <c r="N443" s="12">
        <f>+M443/D443</f>
        <v>0.97930615384615383</v>
      </c>
      <c r="O443" s="10">
        <f>+D443-I443</f>
        <v>1150100</v>
      </c>
      <c r="P443" s="5"/>
      <c r="Q443" s="6" t="str">
        <f t="shared" si="144"/>
        <v>OKE</v>
      </c>
      <c r="R443" s="6"/>
    </row>
    <row r="444" spans="1:18" ht="15" hidden="1" thickBot="1" x14ac:dyDescent="0.25">
      <c r="A444" s="7"/>
      <c r="B444" s="7"/>
      <c r="C444" s="9"/>
      <c r="D444" s="15"/>
      <c r="E444" s="15"/>
      <c r="F444" s="15"/>
      <c r="G444" s="80"/>
      <c r="H444" s="79"/>
      <c r="I444" s="80"/>
      <c r="J444" s="80"/>
      <c r="K444" s="80"/>
      <c r="L444" s="93"/>
      <c r="M444" s="76"/>
      <c r="N444" s="76"/>
      <c r="O444" s="76"/>
      <c r="P444" s="5"/>
      <c r="Q444" s="6" t="str">
        <f t="shared" si="144"/>
        <v>OKE</v>
      </c>
      <c r="R444" s="6"/>
    </row>
    <row r="445" spans="1:18" ht="15" hidden="1" thickBot="1" x14ac:dyDescent="0.25">
      <c r="A445" s="7"/>
      <c r="B445" s="75" t="s">
        <v>37</v>
      </c>
      <c r="C445" s="8" t="s">
        <v>101</v>
      </c>
      <c r="D445" s="15">
        <v>5000000</v>
      </c>
      <c r="E445" s="15"/>
      <c r="F445" s="15"/>
      <c r="G445" s="80">
        <v>5000000</v>
      </c>
      <c r="H445" s="79">
        <v>0</v>
      </c>
      <c r="I445" s="15">
        <f>+G445+H445</f>
        <v>5000000</v>
      </c>
      <c r="J445" s="16">
        <f>+I445/D445</f>
        <v>1</v>
      </c>
      <c r="K445" s="80">
        <v>2250000</v>
      </c>
      <c r="L445" s="80">
        <v>2675000</v>
      </c>
      <c r="M445" s="80">
        <f>+K445+L445</f>
        <v>4925000</v>
      </c>
      <c r="N445" s="16">
        <f>+M445/D445</f>
        <v>0.98499999999999999</v>
      </c>
      <c r="O445" s="80">
        <f>+D445-I445</f>
        <v>0</v>
      </c>
      <c r="P445" s="5"/>
      <c r="Q445" s="6" t="str">
        <f t="shared" si="144"/>
        <v>OKE</v>
      </c>
      <c r="R445" s="6"/>
    </row>
    <row r="446" spans="1:18" ht="15" hidden="1" thickBot="1" x14ac:dyDescent="0.25">
      <c r="A446" s="7"/>
      <c r="B446" s="7"/>
      <c r="C446" s="9"/>
      <c r="D446" s="15"/>
      <c r="E446" s="15"/>
      <c r="F446" s="15"/>
      <c r="G446" s="80"/>
      <c r="H446" s="79"/>
      <c r="I446" s="80"/>
      <c r="J446" s="80"/>
      <c r="K446" s="80"/>
      <c r="L446" s="93"/>
      <c r="M446" s="76"/>
      <c r="N446" s="76"/>
      <c r="O446" s="76"/>
      <c r="P446" s="5"/>
      <c r="Q446" s="6" t="str">
        <f t="shared" si="144"/>
        <v>OKE</v>
      </c>
      <c r="R446" s="6"/>
    </row>
    <row r="447" spans="1:18" ht="15" hidden="1" thickBot="1" x14ac:dyDescent="0.25">
      <c r="A447" s="74">
        <v>11</v>
      </c>
      <c r="B447" s="75" t="s">
        <v>42</v>
      </c>
      <c r="C447" s="76" t="s">
        <v>102</v>
      </c>
      <c r="D447" s="15">
        <v>60000000</v>
      </c>
      <c r="E447" s="15"/>
      <c r="F447" s="15"/>
      <c r="G447" s="80">
        <v>58849900</v>
      </c>
      <c r="H447" s="79">
        <v>0</v>
      </c>
      <c r="I447" s="15">
        <f>+G447+H447</f>
        <v>58849900</v>
      </c>
      <c r="J447" s="16">
        <f>+I447/D447</f>
        <v>0.98083166666666666</v>
      </c>
      <c r="K447" s="80">
        <v>58729900</v>
      </c>
      <c r="L447" s="80">
        <v>0</v>
      </c>
      <c r="M447" s="80">
        <f>+K447+L447</f>
        <v>58729900</v>
      </c>
      <c r="N447" s="16">
        <f>+M447/D447</f>
        <v>0.97883166666666666</v>
      </c>
      <c r="O447" s="80">
        <f>+D447-I447</f>
        <v>1150100</v>
      </c>
      <c r="P447" s="5"/>
      <c r="Q447" s="6" t="str">
        <f t="shared" si="144"/>
        <v>OKE</v>
      </c>
      <c r="R447" s="6"/>
    </row>
    <row r="448" spans="1:18" ht="15" hidden="1" thickBot="1" x14ac:dyDescent="0.25">
      <c r="A448" s="74"/>
      <c r="B448" s="74"/>
      <c r="C448" s="76"/>
      <c r="D448" s="15"/>
      <c r="E448" s="15"/>
      <c r="F448" s="15"/>
      <c r="G448" s="80"/>
      <c r="H448" s="79"/>
      <c r="I448" s="80"/>
      <c r="J448" s="80"/>
      <c r="K448" s="80"/>
      <c r="L448" s="76"/>
      <c r="M448" s="76"/>
      <c r="N448" s="76"/>
      <c r="O448" s="76"/>
      <c r="P448" s="5"/>
      <c r="Q448" s="6" t="str">
        <f t="shared" si="144"/>
        <v>OKE</v>
      </c>
      <c r="R448" s="6"/>
    </row>
    <row r="449" spans="1:40" ht="15" hidden="1" thickBot="1" x14ac:dyDescent="0.25">
      <c r="A449" s="85"/>
      <c r="B449" s="85"/>
      <c r="C449" s="34" t="s">
        <v>103</v>
      </c>
      <c r="D449" s="41">
        <f>+D447+D445</f>
        <v>65000000</v>
      </c>
      <c r="E449" s="41"/>
      <c r="F449" s="41"/>
      <c r="G449" s="41">
        <f>+G447+G445</f>
        <v>63849900</v>
      </c>
      <c r="H449" s="42">
        <f>+H447+H445</f>
        <v>0</v>
      </c>
      <c r="I449" s="41">
        <f>+G449+H449</f>
        <v>63849900</v>
      </c>
      <c r="J449" s="43">
        <f>+I449/D449</f>
        <v>0.98230615384615383</v>
      </c>
      <c r="K449" s="41">
        <f>+K447+K445</f>
        <v>60979900</v>
      </c>
      <c r="L449" s="41">
        <f>+L447+L445</f>
        <v>2675000</v>
      </c>
      <c r="M449" s="259">
        <f>+K449+L449</f>
        <v>63654900</v>
      </c>
      <c r="N449" s="43">
        <f>+M449/D449</f>
        <v>0.97930615384615383</v>
      </c>
      <c r="O449" s="41">
        <f>+D449-I449</f>
        <v>1150100</v>
      </c>
      <c r="P449" s="5"/>
      <c r="Q449" s="6" t="str">
        <f t="shared" si="144"/>
        <v>OKE</v>
      </c>
      <c r="R449" s="6"/>
    </row>
    <row r="450" spans="1:40" ht="15" hidden="1" thickBot="1" x14ac:dyDescent="0.25">
      <c r="A450" s="74"/>
      <c r="B450" s="74"/>
      <c r="C450" s="76"/>
      <c r="D450" s="15"/>
      <c r="E450" s="15"/>
      <c r="F450" s="15"/>
      <c r="G450" s="80"/>
      <c r="H450" s="79"/>
      <c r="I450" s="80"/>
      <c r="J450" s="80"/>
      <c r="K450" s="80"/>
      <c r="L450" s="76"/>
      <c r="M450" s="76"/>
      <c r="N450" s="76"/>
      <c r="O450" s="76"/>
      <c r="P450" s="5"/>
      <c r="Q450" s="6" t="str">
        <f t="shared" si="144"/>
        <v>OKE</v>
      </c>
      <c r="R450" s="6"/>
    </row>
    <row r="451" spans="1:40" ht="15" hidden="1" thickBot="1" x14ac:dyDescent="0.25">
      <c r="A451" s="7" t="s">
        <v>38</v>
      </c>
      <c r="B451" s="7" t="s">
        <v>104</v>
      </c>
      <c r="C451" s="9" t="s">
        <v>105</v>
      </c>
      <c r="D451" s="10">
        <f>+D453+D455</f>
        <v>65000000</v>
      </c>
      <c r="E451" s="10"/>
      <c r="F451" s="10"/>
      <c r="G451" s="10">
        <f>+G453+G455</f>
        <v>63625000</v>
      </c>
      <c r="H451" s="11">
        <f>+H453+H455</f>
        <v>0</v>
      </c>
      <c r="I451" s="10">
        <f>+G451+H451</f>
        <v>63625000</v>
      </c>
      <c r="J451" s="12">
        <f>+I451/D451</f>
        <v>0.97884615384615381</v>
      </c>
      <c r="K451" s="10">
        <f>+K453+K455</f>
        <v>58383200</v>
      </c>
      <c r="L451" s="10">
        <f>+L453+L455</f>
        <v>5241800</v>
      </c>
      <c r="M451" s="10">
        <f>+K451+L451</f>
        <v>63625000</v>
      </c>
      <c r="N451" s="12">
        <f>+M451/D451</f>
        <v>0.97884615384615381</v>
      </c>
      <c r="O451" s="10">
        <f>+D451-I451</f>
        <v>1375000</v>
      </c>
      <c r="P451" s="5"/>
      <c r="Q451" s="6" t="str">
        <f t="shared" si="144"/>
        <v>OKE</v>
      </c>
      <c r="R451" s="6"/>
    </row>
    <row r="452" spans="1:40" ht="15" hidden="1" thickBot="1" x14ac:dyDescent="0.25">
      <c r="A452" s="7"/>
      <c r="B452" s="7"/>
      <c r="C452" s="9"/>
      <c r="D452" s="15"/>
      <c r="E452" s="15"/>
      <c r="F452" s="15"/>
      <c r="G452" s="80"/>
      <c r="H452" s="79"/>
      <c r="I452" s="80"/>
      <c r="J452" s="80"/>
      <c r="K452" s="80"/>
      <c r="L452" s="93"/>
      <c r="M452" s="76"/>
      <c r="N452" s="76"/>
      <c r="O452" s="76"/>
      <c r="P452" s="5"/>
      <c r="Q452" s="6" t="str">
        <f t="shared" si="144"/>
        <v>OKE</v>
      </c>
      <c r="R452" s="6"/>
    </row>
    <row r="453" spans="1:40" ht="15" hidden="1" thickBot="1" x14ac:dyDescent="0.25">
      <c r="A453" s="74">
        <v>12</v>
      </c>
      <c r="B453" s="75" t="s">
        <v>71</v>
      </c>
      <c r="C453" s="76" t="s">
        <v>106</v>
      </c>
      <c r="D453" s="15">
        <v>32000000</v>
      </c>
      <c r="E453" s="15"/>
      <c r="F453" s="15"/>
      <c r="G453" s="80">
        <v>32000000</v>
      </c>
      <c r="H453" s="79">
        <v>0</v>
      </c>
      <c r="I453" s="15">
        <f>+G453+H453</f>
        <v>32000000</v>
      </c>
      <c r="J453" s="16">
        <f>+I453/D453</f>
        <v>1</v>
      </c>
      <c r="K453" s="80">
        <v>26758200</v>
      </c>
      <c r="L453" s="80">
        <v>5241800</v>
      </c>
      <c r="M453" s="80">
        <f>+K453+L453</f>
        <v>32000000</v>
      </c>
      <c r="N453" s="16">
        <f>+M453/D453</f>
        <v>1</v>
      </c>
      <c r="O453" s="80">
        <f>+D453-I453</f>
        <v>0</v>
      </c>
      <c r="P453" s="5"/>
      <c r="Q453" s="6" t="str">
        <f t="shared" si="144"/>
        <v>OKE</v>
      </c>
      <c r="R453" s="6"/>
    </row>
    <row r="454" spans="1:40" ht="15" hidden="1" thickBot="1" x14ac:dyDescent="0.25">
      <c r="A454" s="74"/>
      <c r="B454" s="74"/>
      <c r="C454" s="76"/>
      <c r="D454" s="15"/>
      <c r="E454" s="15"/>
      <c r="F454" s="15"/>
      <c r="G454" s="80"/>
      <c r="H454" s="79"/>
      <c r="I454" s="80"/>
      <c r="J454" s="80"/>
      <c r="K454" s="270"/>
      <c r="L454" s="93"/>
      <c r="M454" s="76"/>
      <c r="N454" s="76"/>
      <c r="O454" s="76"/>
      <c r="P454" s="5"/>
      <c r="Q454" s="6" t="str">
        <f t="shared" si="144"/>
        <v>OKE</v>
      </c>
      <c r="R454" s="6"/>
    </row>
    <row r="455" spans="1:40" ht="15" hidden="1" thickBot="1" x14ac:dyDescent="0.25">
      <c r="A455" s="74">
        <v>13</v>
      </c>
      <c r="B455" s="75" t="s">
        <v>107</v>
      </c>
      <c r="C455" s="76" t="s">
        <v>108</v>
      </c>
      <c r="D455" s="15">
        <v>33000000</v>
      </c>
      <c r="E455" s="15"/>
      <c r="F455" s="15"/>
      <c r="G455" s="80">
        <v>31625000</v>
      </c>
      <c r="H455" s="79">
        <v>0</v>
      </c>
      <c r="I455" s="15">
        <f>+G455+H455</f>
        <v>31625000</v>
      </c>
      <c r="J455" s="16">
        <f>+I455/D455</f>
        <v>0.95833333333333337</v>
      </c>
      <c r="K455" s="80">
        <v>31625000</v>
      </c>
      <c r="L455" s="80">
        <v>0</v>
      </c>
      <c r="M455" s="80">
        <f>+K455+L455</f>
        <v>31625000</v>
      </c>
      <c r="N455" s="16">
        <f>+M455/D455</f>
        <v>0.95833333333333337</v>
      </c>
      <c r="O455" s="80">
        <f>+D455-I455</f>
        <v>1375000</v>
      </c>
      <c r="P455" s="5"/>
      <c r="Q455" s="6" t="str">
        <f t="shared" si="144"/>
        <v>OKE</v>
      </c>
      <c r="R455" s="6"/>
    </row>
    <row r="456" spans="1:40" ht="15" hidden="1" thickBot="1" x14ac:dyDescent="0.25">
      <c r="A456" s="74"/>
      <c r="B456" s="74"/>
      <c r="C456" s="76"/>
      <c r="D456" s="15"/>
      <c r="E456" s="15"/>
      <c r="F456" s="15"/>
      <c r="G456" s="80"/>
      <c r="H456" s="79"/>
      <c r="I456" s="80"/>
      <c r="J456" s="80"/>
      <c r="K456" s="80"/>
      <c r="L456" s="76"/>
      <c r="M456" s="76"/>
      <c r="N456" s="76"/>
      <c r="O456" s="76"/>
      <c r="P456" s="5"/>
      <c r="Q456" s="6" t="str">
        <f t="shared" si="144"/>
        <v>OKE</v>
      </c>
      <c r="R456" s="6"/>
    </row>
    <row r="457" spans="1:40" ht="15" hidden="1" thickBot="1" x14ac:dyDescent="0.25">
      <c r="A457" s="85"/>
      <c r="B457" s="85"/>
      <c r="C457" s="34" t="s">
        <v>109</v>
      </c>
      <c r="D457" s="41">
        <f>+D455+D453</f>
        <v>65000000</v>
      </c>
      <c r="E457" s="41"/>
      <c r="F457" s="41"/>
      <c r="G457" s="41">
        <f>+G455+G453</f>
        <v>63625000</v>
      </c>
      <c r="H457" s="42">
        <f>+H455+H453</f>
        <v>0</v>
      </c>
      <c r="I457" s="41">
        <f>+G457+H457</f>
        <v>63625000</v>
      </c>
      <c r="J457" s="43">
        <f>+I457/D457</f>
        <v>0.97884615384615381</v>
      </c>
      <c r="K457" s="41">
        <f>+K455+K453</f>
        <v>58383200</v>
      </c>
      <c r="L457" s="41">
        <f>+L455+L453</f>
        <v>5241800</v>
      </c>
      <c r="M457" s="41">
        <f>+K457+L457</f>
        <v>63625000</v>
      </c>
      <c r="N457" s="43">
        <f>+M457/D457</f>
        <v>0.97884615384615381</v>
      </c>
      <c r="O457" s="41">
        <f>+D457-I457</f>
        <v>1375000</v>
      </c>
      <c r="P457" s="5"/>
      <c r="Q457" s="6" t="str">
        <f t="shared" si="144"/>
        <v>OKE</v>
      </c>
      <c r="R457" s="6"/>
    </row>
    <row r="458" spans="1:40" ht="15" hidden="1" thickBot="1" x14ac:dyDescent="0.25">
      <c r="A458" s="74"/>
      <c r="B458" s="74"/>
      <c r="C458" s="76"/>
      <c r="D458" s="15"/>
      <c r="E458" s="15"/>
      <c r="F458" s="15"/>
      <c r="G458" s="80"/>
      <c r="H458" s="79"/>
      <c r="I458" s="80"/>
      <c r="J458" s="80"/>
      <c r="K458" s="80"/>
      <c r="L458" s="93"/>
      <c r="M458" s="76"/>
      <c r="N458" s="76"/>
      <c r="O458" s="76"/>
      <c r="P458" s="5"/>
      <c r="Q458" s="6" t="str">
        <f t="shared" si="144"/>
        <v>OKE</v>
      </c>
      <c r="R458" s="6"/>
    </row>
    <row r="459" spans="1:40" ht="15" hidden="1" thickBot="1" x14ac:dyDescent="0.25">
      <c r="A459" s="92"/>
      <c r="B459" s="92"/>
      <c r="C459" s="54"/>
      <c r="D459" s="55"/>
      <c r="E459" s="55"/>
      <c r="F459" s="55"/>
      <c r="G459" s="55"/>
      <c r="H459" s="56"/>
      <c r="I459" s="55"/>
      <c r="J459" s="57"/>
      <c r="K459" s="55"/>
      <c r="L459" s="55"/>
      <c r="M459" s="58"/>
      <c r="N459" s="59"/>
      <c r="O459" s="58"/>
      <c r="P459" s="5"/>
      <c r="Q459" s="6" t="str">
        <f t="shared" si="144"/>
        <v>OKE</v>
      </c>
      <c r="R459" s="6"/>
    </row>
    <row r="460" spans="1:40" s="72" customFormat="1" ht="10.5" customHeight="1" x14ac:dyDescent="0.2">
      <c r="A460" s="435"/>
      <c r="B460" s="436"/>
      <c r="C460" s="439" t="s">
        <v>110</v>
      </c>
      <c r="D460" s="429">
        <f t="shared" ref="D460:I460" si="145">+D30+D47+D62+D77+D98+D113+D126+D175+D192+D254</f>
        <v>70935668093</v>
      </c>
      <c r="E460" s="429">
        <f t="shared" si="145"/>
        <v>-36639150</v>
      </c>
      <c r="F460" s="441">
        <f t="shared" si="145"/>
        <v>70899028943</v>
      </c>
      <c r="G460" s="429">
        <f t="shared" si="145"/>
        <v>831035153</v>
      </c>
      <c r="H460" s="429">
        <f t="shared" si="145"/>
        <v>3047191945</v>
      </c>
      <c r="I460" s="429">
        <f t="shared" si="145"/>
        <v>3878227098</v>
      </c>
      <c r="J460" s="431">
        <f>+I460/F460</f>
        <v>5.4700708258189831E-2</v>
      </c>
      <c r="K460" s="453">
        <f>+K30+K47+K62+K77+K98+K113+K126+K175+K192+K254</f>
        <v>831035153</v>
      </c>
      <c r="L460" s="429">
        <f>+L30+L47+L62+L77+L98+L113+L126+L175+L192+L254</f>
        <v>3028338895</v>
      </c>
      <c r="M460" s="429">
        <f>+K460+L460</f>
        <v>3859374048</v>
      </c>
      <c r="N460" s="433">
        <f>+M460/F460</f>
        <v>5.4434794178955304E-2</v>
      </c>
      <c r="O460" s="429">
        <f>+F460-M460</f>
        <v>67039654895</v>
      </c>
      <c r="P460" s="5"/>
      <c r="Q460" s="6" t="str">
        <f t="shared" si="144"/>
        <v>OKE</v>
      </c>
      <c r="R460" s="6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</row>
    <row r="461" spans="1:40" s="73" customFormat="1" ht="18" customHeight="1" thickBot="1" x14ac:dyDescent="0.25">
      <c r="A461" s="437"/>
      <c r="B461" s="438"/>
      <c r="C461" s="430"/>
      <c r="D461" s="440"/>
      <c r="E461" s="440"/>
      <c r="F461" s="442"/>
      <c r="G461" s="440"/>
      <c r="H461" s="440"/>
      <c r="I461" s="430"/>
      <c r="J461" s="432"/>
      <c r="K461" s="454"/>
      <c r="L461" s="440"/>
      <c r="M461" s="430"/>
      <c r="N461" s="434"/>
      <c r="O461" s="430"/>
      <c r="P461" s="77"/>
      <c r="Q461" s="6" t="str">
        <f t="shared" si="144"/>
        <v>OKE</v>
      </c>
      <c r="R461" s="6"/>
      <c r="S461" s="306">
        <f>+S474+760614000</f>
        <v>3078085505</v>
      </c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</row>
    <row r="462" spans="1:40" ht="5.25" customHeight="1" x14ac:dyDescent="0.2">
      <c r="A462" s="90"/>
      <c r="B462" s="90"/>
      <c r="C462" s="37"/>
      <c r="D462" s="37"/>
      <c r="E462" s="37"/>
      <c r="F462" s="37"/>
      <c r="G462" s="37"/>
      <c r="H462" s="38"/>
      <c r="I462" s="40"/>
      <c r="J462" s="39"/>
      <c r="K462" s="37"/>
      <c r="L462" s="37"/>
      <c r="M462" s="60"/>
      <c r="N462" s="61"/>
      <c r="O462" s="62"/>
      <c r="P462" s="77"/>
    </row>
    <row r="463" spans="1:40" x14ac:dyDescent="0.2">
      <c r="A463" s="77"/>
      <c r="B463" s="77"/>
      <c r="C463" s="77"/>
      <c r="D463" s="31"/>
      <c r="G463" s="88"/>
      <c r="H463" s="63"/>
      <c r="I463" s="26"/>
      <c r="J463" s="26"/>
      <c r="K463" s="88"/>
      <c r="L463" s="77"/>
      <c r="M463" s="77"/>
      <c r="N463" s="77"/>
      <c r="O463" s="77"/>
      <c r="P463" s="64"/>
      <c r="Q463" s="64"/>
      <c r="R463" s="31" t="s">
        <v>148</v>
      </c>
      <c r="S463" s="189">
        <f>643853365+16357255</f>
        <v>660210620</v>
      </c>
    </row>
    <row r="464" spans="1:40" hidden="1" x14ac:dyDescent="0.2">
      <c r="A464" s="77"/>
      <c r="B464" s="77"/>
      <c r="C464" s="77"/>
      <c r="G464" s="88"/>
      <c r="H464" s="63"/>
      <c r="I464" s="26"/>
      <c r="J464" s="26"/>
      <c r="K464" s="88"/>
      <c r="L464" s="77"/>
      <c r="M464" s="77"/>
      <c r="N464" s="77"/>
      <c r="O464" s="77"/>
      <c r="P464" s="77"/>
      <c r="Q464" s="77"/>
      <c r="R464" s="77"/>
      <c r="S464" s="189"/>
    </row>
    <row r="465" spans="1:19" hidden="1" x14ac:dyDescent="0.2">
      <c r="A465" s="77"/>
      <c r="B465" s="77"/>
      <c r="C465" s="77"/>
      <c r="G465" s="26"/>
      <c r="H465" s="271"/>
      <c r="I465" s="88"/>
      <c r="J465" s="88"/>
      <c r="K465" s="88"/>
      <c r="L465" s="77"/>
      <c r="M465" s="77"/>
      <c r="N465" s="77"/>
      <c r="O465" s="77"/>
      <c r="P465" s="77"/>
      <c r="Q465" s="77"/>
      <c r="R465" s="77"/>
      <c r="S465" s="189"/>
    </row>
    <row r="466" spans="1:19" x14ac:dyDescent="0.2">
      <c r="A466" s="77"/>
      <c r="B466" s="77"/>
      <c r="C466" s="77"/>
      <c r="D466" s="31"/>
      <c r="G466" s="26"/>
      <c r="H466" s="271"/>
      <c r="I466" s="88"/>
      <c r="J466" s="88"/>
      <c r="K466" s="88"/>
      <c r="L466" s="425" t="s">
        <v>348</v>
      </c>
      <c r="M466" s="426"/>
      <c r="N466" s="426"/>
      <c r="O466" s="426"/>
      <c r="P466" s="77" t="s">
        <v>302</v>
      </c>
      <c r="Q466" s="179">
        <f>4606008+1552911+59772064</f>
        <v>65930983</v>
      </c>
      <c r="R466" s="77" t="s">
        <v>269</v>
      </c>
      <c r="S466" s="189">
        <v>72037500</v>
      </c>
    </row>
    <row r="467" spans="1:19" x14ac:dyDescent="0.2">
      <c r="A467" s="77"/>
      <c r="B467" s="77"/>
      <c r="C467" s="77"/>
      <c r="D467" s="31"/>
      <c r="G467" s="88"/>
      <c r="H467" s="271"/>
      <c r="I467" s="88"/>
      <c r="J467" s="88"/>
      <c r="K467" s="88"/>
      <c r="L467" s="425" t="s">
        <v>328</v>
      </c>
      <c r="M467" s="426"/>
      <c r="N467" s="426"/>
      <c r="O467" s="426"/>
      <c r="P467" s="77" t="s">
        <v>268</v>
      </c>
      <c r="Q467" s="179">
        <f>11063300+79905897+2811700</f>
        <v>93780897</v>
      </c>
      <c r="R467" s="77" t="s">
        <v>149</v>
      </c>
      <c r="S467" s="190">
        <v>0</v>
      </c>
    </row>
    <row r="468" spans="1:19" hidden="1" x14ac:dyDescent="0.2">
      <c r="A468" s="77"/>
      <c r="B468" s="77"/>
      <c r="C468" s="77"/>
      <c r="G468" s="88"/>
      <c r="H468" s="271"/>
      <c r="I468" s="88"/>
      <c r="J468" s="88"/>
      <c r="K468" s="88"/>
      <c r="L468" s="26"/>
      <c r="M468" s="88"/>
      <c r="N468" s="88"/>
      <c r="O468" s="77"/>
      <c r="P468" s="77"/>
      <c r="Q468" s="179"/>
      <c r="R468" s="77"/>
      <c r="S468" s="77"/>
    </row>
    <row r="469" spans="1:19" hidden="1" x14ac:dyDescent="0.2">
      <c r="A469" s="77"/>
      <c r="B469" s="77"/>
      <c r="C469" s="77"/>
      <c r="G469" s="88"/>
      <c r="H469" s="271"/>
      <c r="I469" s="88"/>
      <c r="J469" s="88"/>
      <c r="K469" s="88"/>
      <c r="L469" s="88"/>
      <c r="M469" s="88"/>
      <c r="N469" s="88"/>
      <c r="O469" s="77"/>
      <c r="P469" s="77"/>
      <c r="Q469" s="179"/>
      <c r="R469" s="77"/>
      <c r="S469" s="77"/>
    </row>
    <row r="470" spans="1:19" hidden="1" x14ac:dyDescent="0.2">
      <c r="A470" s="77"/>
      <c r="B470" s="77"/>
      <c r="C470" s="77"/>
      <c r="G470" s="88"/>
      <c r="H470" s="271"/>
      <c r="I470" s="88"/>
      <c r="J470" s="88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19" hidden="1" x14ac:dyDescent="0.2">
      <c r="A471" s="77"/>
      <c r="B471" s="77"/>
      <c r="C471" s="77"/>
      <c r="G471" s="88"/>
      <c r="H471" s="65"/>
      <c r="I471" s="200"/>
      <c r="J471" s="200"/>
      <c r="K471" s="88"/>
      <c r="L471" s="88"/>
      <c r="M471" s="88"/>
      <c r="N471" s="88"/>
      <c r="O471" s="77"/>
      <c r="P471" s="77"/>
      <c r="Q471" s="179"/>
      <c r="R471" s="77"/>
      <c r="S471" s="77"/>
    </row>
    <row r="472" spans="1:19" ht="12.75" customHeight="1" x14ac:dyDescent="0.2">
      <c r="A472" s="77"/>
      <c r="B472" s="77"/>
      <c r="C472" s="77"/>
      <c r="D472" s="31"/>
      <c r="G472" s="88"/>
      <c r="H472" s="65"/>
      <c r="I472" s="200"/>
      <c r="J472" s="200"/>
      <c r="K472" s="88"/>
      <c r="L472" s="425" t="s">
        <v>146</v>
      </c>
      <c r="M472" s="426"/>
      <c r="N472" s="426"/>
      <c r="O472" s="426"/>
      <c r="P472" s="77" t="s">
        <v>270</v>
      </c>
      <c r="Q472" s="179">
        <v>0</v>
      </c>
      <c r="R472" s="77" t="s">
        <v>271</v>
      </c>
      <c r="S472" s="179">
        <f>+Q476</f>
        <v>1585223385</v>
      </c>
    </row>
    <row r="473" spans="1:19" ht="12.75" customHeight="1" x14ac:dyDescent="0.2">
      <c r="A473" s="77"/>
      <c r="B473" s="77"/>
      <c r="C473" s="77"/>
      <c r="G473" s="88"/>
      <c r="H473" s="65"/>
      <c r="I473" s="200"/>
      <c r="J473" s="200"/>
      <c r="K473" s="88"/>
      <c r="L473" s="425" t="s">
        <v>329</v>
      </c>
      <c r="M473" s="426"/>
      <c r="N473" s="426"/>
      <c r="O473" s="426"/>
      <c r="P473" s="77" t="s">
        <v>147</v>
      </c>
      <c r="Q473" s="179">
        <v>24443785</v>
      </c>
      <c r="R473" s="77"/>
      <c r="S473" s="278"/>
    </row>
    <row r="474" spans="1:19" ht="14.2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88"/>
      <c r="M474" s="88"/>
      <c r="N474" s="88"/>
      <c r="O474" s="77"/>
      <c r="P474" s="77" t="s">
        <v>151</v>
      </c>
      <c r="Q474" s="179">
        <v>40960000</v>
      </c>
      <c r="R474" s="277" t="s">
        <v>152</v>
      </c>
      <c r="S474" s="279">
        <f>SUM(S463:S472)</f>
        <v>2317471505</v>
      </c>
    </row>
    <row r="475" spans="1:19" ht="14.2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88"/>
      <c r="M475" s="88"/>
      <c r="N475" s="88"/>
      <c r="O475" s="77"/>
      <c r="P475" s="77" t="s">
        <v>274</v>
      </c>
      <c r="Q475" s="179">
        <f>35700000+98049000+196000000+810000000+24500000+12200000+17405500+32678220+124305000+9270000</f>
        <v>1360107720</v>
      </c>
      <c r="R475" s="77"/>
      <c r="S475" s="179"/>
    </row>
    <row r="476" spans="1:19" x14ac:dyDescent="0.2">
      <c r="A476" s="77"/>
      <c r="B476" s="77"/>
      <c r="C476" s="77"/>
      <c r="G476" s="66"/>
      <c r="H476" s="65"/>
      <c r="I476" s="200"/>
      <c r="J476" s="200"/>
      <c r="K476" s="88"/>
      <c r="L476" s="427" t="s">
        <v>330</v>
      </c>
      <c r="M476" s="427"/>
      <c r="N476" s="427"/>
      <c r="O476" s="427"/>
      <c r="P476" s="277" t="s">
        <v>273</v>
      </c>
      <c r="Q476" s="280">
        <f>SUM(Q466:Q475)</f>
        <v>1585223385</v>
      </c>
      <c r="R476" s="192" t="s">
        <v>150</v>
      </c>
      <c r="S476" s="191">
        <f>+L460-S474</f>
        <v>710867390</v>
      </c>
    </row>
    <row r="477" spans="1:19" ht="15" customHeight="1" x14ac:dyDescent="0.2">
      <c r="A477" s="77"/>
      <c r="B477" s="77"/>
      <c r="C477" s="77"/>
      <c r="G477" s="67"/>
      <c r="H477" s="271"/>
      <c r="I477" s="88"/>
      <c r="J477" s="88"/>
      <c r="K477" s="88"/>
      <c r="L477" s="428" t="s">
        <v>331</v>
      </c>
      <c r="M477" s="428"/>
      <c r="N477" s="428"/>
      <c r="O477" s="428"/>
      <c r="P477" s="77"/>
      <c r="Q477" s="77"/>
      <c r="R477" s="192" t="s">
        <v>272</v>
      </c>
      <c r="S477" s="191">
        <f>+S474+S476+1343435000</f>
        <v>4371773895</v>
      </c>
    </row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</sheetData>
  <mergeCells count="241">
    <mergeCell ref="L473:O473"/>
    <mergeCell ref="L476:O476"/>
    <mergeCell ref="L477:O477"/>
    <mergeCell ref="K460:K461"/>
    <mergeCell ref="J460:J461"/>
    <mergeCell ref="L460:L461"/>
    <mergeCell ref="M460:M461"/>
    <mergeCell ref="N460:N461"/>
    <mergeCell ref="O460:O461"/>
    <mergeCell ref="L466:O466"/>
    <mergeCell ref="A460:B461"/>
    <mergeCell ref="C460:C461"/>
    <mergeCell ref="D460:D461"/>
    <mergeCell ref="F460:F461"/>
    <mergeCell ref="G460:G461"/>
    <mergeCell ref="H460:H461"/>
    <mergeCell ref="I460:I461"/>
    <mergeCell ref="L467:O467"/>
    <mergeCell ref="L472:O472"/>
    <mergeCell ref="E460:E461"/>
    <mergeCell ref="A436:A438"/>
    <mergeCell ref="B436:B438"/>
    <mergeCell ref="C436:C438"/>
    <mergeCell ref="D436:D438"/>
    <mergeCell ref="G436:J436"/>
    <mergeCell ref="K436:N436"/>
    <mergeCell ref="A379:O379"/>
    <mergeCell ref="A380:O380"/>
    <mergeCell ref="A381:O381"/>
    <mergeCell ref="A382:A384"/>
    <mergeCell ref="B382:B384"/>
    <mergeCell ref="C382:C384"/>
    <mergeCell ref="D382:D384"/>
    <mergeCell ref="G382:J382"/>
    <mergeCell ref="K382:N382"/>
    <mergeCell ref="O382:O384"/>
    <mergeCell ref="O436:O438"/>
    <mergeCell ref="G437:J437"/>
    <mergeCell ref="K437:N437"/>
    <mergeCell ref="K355:K356"/>
    <mergeCell ref="L355:L356"/>
    <mergeCell ref="M355:M356"/>
    <mergeCell ref="N355:N356"/>
    <mergeCell ref="O355:O356"/>
    <mergeCell ref="O325:O327"/>
    <mergeCell ref="G326:J326"/>
    <mergeCell ref="K326:N326"/>
    <mergeCell ref="G383:J383"/>
    <mergeCell ref="K383:N383"/>
    <mergeCell ref="A355:A356"/>
    <mergeCell ref="B355:B356"/>
    <mergeCell ref="C355:C356"/>
    <mergeCell ref="D355:D356"/>
    <mergeCell ref="G355:G356"/>
    <mergeCell ref="H355:H356"/>
    <mergeCell ref="I355:I356"/>
    <mergeCell ref="O271:O273"/>
    <mergeCell ref="G272:J272"/>
    <mergeCell ref="K272:N272"/>
    <mergeCell ref="A324:O324"/>
    <mergeCell ref="A325:A327"/>
    <mergeCell ref="B325:B327"/>
    <mergeCell ref="C325:C327"/>
    <mergeCell ref="D325:D327"/>
    <mergeCell ref="G325:J325"/>
    <mergeCell ref="K325:N325"/>
    <mergeCell ref="A271:A273"/>
    <mergeCell ref="B271:B273"/>
    <mergeCell ref="C271:C273"/>
    <mergeCell ref="D271:D273"/>
    <mergeCell ref="G271:J271"/>
    <mergeCell ref="K271:N271"/>
    <mergeCell ref="J355:J356"/>
    <mergeCell ref="A270:O270"/>
    <mergeCell ref="G254:G255"/>
    <mergeCell ref="H254:H255"/>
    <mergeCell ref="I254:I255"/>
    <mergeCell ref="J254:J255"/>
    <mergeCell ref="K254:K255"/>
    <mergeCell ref="L254:L255"/>
    <mergeCell ref="A254:A255"/>
    <mergeCell ref="B254:B255"/>
    <mergeCell ref="C254:C255"/>
    <mergeCell ref="D254:D255"/>
    <mergeCell ref="E254:E255"/>
    <mergeCell ref="F254:F255"/>
    <mergeCell ref="M254:M255"/>
    <mergeCell ref="N254:N255"/>
    <mergeCell ref="O254:O255"/>
    <mergeCell ref="A268:O268"/>
    <mergeCell ref="A269:O269"/>
    <mergeCell ref="O175:O176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J192:J193"/>
    <mergeCell ref="K192:K193"/>
    <mergeCell ref="L192:L193"/>
    <mergeCell ref="M192:M193"/>
    <mergeCell ref="N192:N193"/>
    <mergeCell ref="O192:O193"/>
    <mergeCell ref="I192:I193"/>
    <mergeCell ref="I175:I176"/>
    <mergeCell ref="J175:J176"/>
    <mergeCell ref="K175:K176"/>
    <mergeCell ref="L175:L176"/>
    <mergeCell ref="M175:M176"/>
    <mergeCell ref="N175:N176"/>
    <mergeCell ref="A175:A176"/>
    <mergeCell ref="B175:B176"/>
    <mergeCell ref="G175:G176"/>
    <mergeCell ref="H175:H176"/>
    <mergeCell ref="C175:C176"/>
    <mergeCell ref="D175:D176"/>
    <mergeCell ref="E175:E176"/>
    <mergeCell ref="F175:F176"/>
    <mergeCell ref="H126:H127"/>
    <mergeCell ref="M113:M114"/>
    <mergeCell ref="N113:N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A113:A114"/>
    <mergeCell ref="B113:B114"/>
    <mergeCell ref="C113:C114"/>
    <mergeCell ref="D113:D114"/>
    <mergeCell ref="E113:E114"/>
    <mergeCell ref="F113:F114"/>
    <mergeCell ref="J98:J99"/>
    <mergeCell ref="K98:K99"/>
    <mergeCell ref="L98:L99"/>
    <mergeCell ref="M98:M99"/>
    <mergeCell ref="N98:N99"/>
    <mergeCell ref="O98:O99"/>
    <mergeCell ref="I126:I127"/>
    <mergeCell ref="J126:J127"/>
    <mergeCell ref="K126:K127"/>
    <mergeCell ref="L126:L127"/>
    <mergeCell ref="M126:M127"/>
    <mergeCell ref="O113:O114"/>
    <mergeCell ref="I113:I114"/>
    <mergeCell ref="J113:J114"/>
    <mergeCell ref="K113:K114"/>
    <mergeCell ref="L113:L114"/>
    <mergeCell ref="N126:N127"/>
    <mergeCell ref="O126:O127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C77:C78"/>
    <mergeCell ref="D77:D78"/>
    <mergeCell ref="E77:E78"/>
    <mergeCell ref="F77:F78"/>
    <mergeCell ref="G77:G78"/>
    <mergeCell ref="H77:H78"/>
    <mergeCell ref="H62:H63"/>
    <mergeCell ref="M47:M48"/>
    <mergeCell ref="N47:N48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K62:K63"/>
    <mergeCell ref="L62:L63"/>
    <mergeCell ref="M62:M63"/>
    <mergeCell ref="A47:A48"/>
    <mergeCell ref="B47:B48"/>
    <mergeCell ref="C47:C48"/>
    <mergeCell ref="D47:D48"/>
    <mergeCell ref="E47:E48"/>
    <mergeCell ref="F47:F48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</mergeCells>
  <pageMargins left="0.39370078740157483" right="0.11811023622047245" top="0.51181102362204722" bottom="1.1023622047244095" header="0.31496062992125984" footer="0.82677165354330717"/>
  <pageSetup paperSize="9" scale="73" fitToHeight="0" orientation="landscape" horizontalDpi="4294967295" verticalDpi="4294967295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topLeftCell="A16" workbookViewId="0">
      <selection activeCell="I18" sqref="I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335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1020606220</v>
      </c>
      <c r="G8" s="107">
        <f>F8/E8</f>
        <v>5.1669339042664311E-2</v>
      </c>
      <c r="H8" s="105">
        <f>SUM(H9:H11)</f>
        <v>1020355020</v>
      </c>
      <c r="I8" s="108">
        <f>H8/E8</f>
        <v>5.1656621759824786E-2</v>
      </c>
      <c r="J8" s="109">
        <f>C8-H8</f>
        <v>18732292080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+peb!I30</f>
        <v>75604220</v>
      </c>
      <c r="G9" s="115">
        <f>F9/E9</f>
        <v>6.7419355212665427E-2</v>
      </c>
      <c r="H9" s="113">
        <f>+peb!M30</f>
        <v>75437020</v>
      </c>
      <c r="I9" s="115">
        <f>H9/E9</f>
        <v>6.727025617835812E-2</v>
      </c>
      <c r="J9" s="116">
        <f>E9-H9</f>
        <v>1045965280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+peb!I62</f>
        <v>920302000</v>
      </c>
      <c r="G10" s="115">
        <f t="shared" ref="G10:G20" si="0">F10/E10</f>
        <v>5.1206847571985001E-2</v>
      </c>
      <c r="H10" s="113">
        <f>+peb!M62</f>
        <v>920293000</v>
      </c>
      <c r="I10" s="115">
        <f t="shared" ref="I10:I20" si="1">H10/E10</f>
        <v>5.1206346799816574E-2</v>
      </c>
      <c r="J10" s="116">
        <f t="shared" ref="J10:J20" si="2">E10-H10</f>
        <v>17051951800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+peb!I47</f>
        <v>24700000</v>
      </c>
      <c r="G11" s="131">
        <f t="shared" si="0"/>
        <v>3.7481031866464343E-2</v>
      </c>
      <c r="H11" s="153">
        <f>+peb!M47</f>
        <v>24625000</v>
      </c>
      <c r="I11" s="131">
        <f t="shared" si="1"/>
        <v>3.736722306525038E-2</v>
      </c>
      <c r="J11" s="154">
        <f t="shared" si="2"/>
        <v>634375000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69741450</v>
      </c>
      <c r="G12" s="129">
        <f>F12/E12</f>
        <v>6.5382828305314156E-3</v>
      </c>
      <c r="H12" s="157">
        <f>SUM(H13:H15)</f>
        <v>55191706</v>
      </c>
      <c r="I12" s="129">
        <f>H12/E12</f>
        <v>5.1742397631184571E-3</v>
      </c>
      <c r="J12" s="159">
        <f t="shared" ref="J12:J16" si="4">C12-H12</f>
        <v>10611439244</v>
      </c>
    </row>
    <row r="13" spans="1:10" s="102" customFormat="1" ht="16.5" customHeight="1" x14ac:dyDescent="0.25">
      <c r="A13" s="111" t="s">
        <v>121</v>
      </c>
      <c r="B13" s="112" t="s">
        <v>141</v>
      </c>
      <c r="C13" s="113">
        <f>+peb!F98</f>
        <v>2208185650</v>
      </c>
      <c r="D13" s="113"/>
      <c r="E13" s="114">
        <f t="shared" si="3"/>
        <v>2208185650</v>
      </c>
      <c r="F13" s="113">
        <f>+peb!I98</f>
        <v>54241200</v>
      </c>
      <c r="G13" s="115">
        <f t="shared" si="0"/>
        <v>2.4563695538914493E-2</v>
      </c>
      <c r="H13" s="113">
        <f>+peb!M98</f>
        <v>40741950</v>
      </c>
      <c r="I13" s="115">
        <f t="shared" si="1"/>
        <v>1.8450418786119728E-2</v>
      </c>
      <c r="J13" s="116">
        <f t="shared" si="2"/>
        <v>2167443700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+peb!I77</f>
        <v>15500250</v>
      </c>
      <c r="G14" s="115">
        <f t="shared" si="0"/>
        <v>2.5679948508391822E-3</v>
      </c>
      <c r="H14" s="113">
        <f>+peb!M77</f>
        <v>14449756</v>
      </c>
      <c r="I14" s="115">
        <f t="shared" si="1"/>
        <v>2.3939548719461028E-3</v>
      </c>
      <c r="J14" s="116">
        <f t="shared" si="2"/>
        <v>6021485244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+peb!I113</f>
        <v>0</v>
      </c>
      <c r="G15" s="121">
        <f t="shared" si="0"/>
        <v>0</v>
      </c>
      <c r="H15" s="119">
        <f>+peb!M113</f>
        <v>0</v>
      </c>
      <c r="I15" s="131">
        <f t="shared" si="1"/>
        <v>0</v>
      </c>
      <c r="J15" s="122">
        <f t="shared" si="2"/>
        <v>2422510300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3"/>
        <v>40479750893</v>
      </c>
      <c r="F16" s="127">
        <f>SUM(F17:F20)</f>
        <v>2787879428</v>
      </c>
      <c r="G16" s="128">
        <f>F16/E16</f>
        <v>6.8870963049382228E-2</v>
      </c>
      <c r="H16" s="125">
        <f>SUM(H17:H20)</f>
        <v>2783827322</v>
      </c>
      <c r="I16" s="129">
        <f>H16/E16</f>
        <v>6.8770861000564995E-2</v>
      </c>
      <c r="J16" s="130">
        <f t="shared" si="4"/>
        <v>37695923571</v>
      </c>
    </row>
    <row r="17" spans="1:11" s="102" customFormat="1" ht="16.5" customHeight="1" x14ac:dyDescent="0.25">
      <c r="A17" s="111" t="s">
        <v>121</v>
      </c>
      <c r="B17" s="307" t="s">
        <v>320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+peb!I126</f>
        <v>54893500</v>
      </c>
      <c r="G17" s="115">
        <f t="shared" si="0"/>
        <v>4.9118495983572971E-2</v>
      </c>
      <c r="H17" s="133">
        <f>+peb!M126</f>
        <v>53070000</v>
      </c>
      <c r="I17" s="115">
        <f t="shared" si="1"/>
        <v>4.748683508699969E-2</v>
      </c>
      <c r="J17" s="116">
        <f t="shared" si="2"/>
        <v>1064502900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+peb!I192</f>
        <v>45751500</v>
      </c>
      <c r="G18" s="115">
        <f>F18/E18</f>
        <v>3.847543379944688E-2</v>
      </c>
      <c r="H18" s="133">
        <f>+peb!M192</f>
        <v>45445500</v>
      </c>
      <c r="I18" s="115">
        <f t="shared" si="1"/>
        <v>3.8218098351589853E-2</v>
      </c>
      <c r="J18" s="116">
        <f t="shared" si="2"/>
        <v>1143663900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+peb!I254</f>
        <v>1252965610</v>
      </c>
      <c r="G19" s="115">
        <f t="shared" ref="G19" si="6">F19/E19</f>
        <v>0.1028671503662639</v>
      </c>
      <c r="H19" s="133">
        <f>+peb!M254</f>
        <v>1252255704</v>
      </c>
      <c r="I19" s="115">
        <f t="shared" si="1"/>
        <v>0.10280886783507144</v>
      </c>
      <c r="J19" s="116">
        <f t="shared" si="2"/>
        <v>10928169296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3"/>
        <v>25992643593</v>
      </c>
      <c r="F20" s="133">
        <f>+peb!I175</f>
        <v>1434268818</v>
      </c>
      <c r="G20" s="115">
        <f t="shared" si="0"/>
        <v>5.517979780964867E-2</v>
      </c>
      <c r="H20" s="133">
        <f>+peb!M175</f>
        <v>1433056118</v>
      </c>
      <c r="I20" s="115">
        <f t="shared" si="1"/>
        <v>5.5133142301306053E-2</v>
      </c>
      <c r="J20" s="116">
        <f t="shared" si="2"/>
        <v>24559587475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70899028943</v>
      </c>
      <c r="D21" s="163">
        <f>D16+D12+D8</f>
        <v>0</v>
      </c>
      <c r="E21" s="164">
        <f>D21+C21</f>
        <v>70899028943</v>
      </c>
      <c r="F21" s="164">
        <f>F16+F12+F8</f>
        <v>3878227098</v>
      </c>
      <c r="G21" s="165">
        <f>F21/E21</f>
        <v>5.4700708258189831E-2</v>
      </c>
      <c r="H21" s="166">
        <f>H16+H12+H8</f>
        <v>3859374048</v>
      </c>
      <c r="I21" s="165">
        <f>H21/E21</f>
        <v>5.4434794178955304E-2</v>
      </c>
      <c r="J21" s="167">
        <f>E21-H21</f>
        <v>67039654895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H24" s="443" t="s">
        <v>334</v>
      </c>
      <c r="I24" s="443"/>
      <c r="J24" s="443"/>
    </row>
    <row r="25" spans="1:11" x14ac:dyDescent="0.25">
      <c r="H25" s="444" t="s">
        <v>332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 t="s">
        <v>329</v>
      </c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27" t="s">
        <v>330</v>
      </c>
      <c r="I30" s="427"/>
      <c r="J30" s="427"/>
      <c r="K30" s="66"/>
    </row>
    <row r="31" spans="1:11" x14ac:dyDescent="0.25">
      <c r="H31" s="428" t="s">
        <v>331</v>
      </c>
      <c r="I31" s="428"/>
      <c r="J31" s="428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E14"/>
  <sheetViews>
    <sheetView topLeftCell="A13" zoomScale="84" zoomScaleNormal="84" workbookViewId="0">
      <selection activeCell="I18" sqref="I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peb'!F9</f>
        <v>75604220</v>
      </c>
      <c r="E4" s="195">
        <f>+'Rekap peb'!H9</f>
        <v>75437020</v>
      </c>
    </row>
    <row r="5" spans="2:5" x14ac:dyDescent="0.25">
      <c r="B5" t="s">
        <v>287</v>
      </c>
      <c r="C5" s="195">
        <f>+'Rekap jan'!C10</f>
        <v>17972244800</v>
      </c>
      <c r="D5" s="195">
        <f>+'Rekap peb'!F10</f>
        <v>920302000</v>
      </c>
      <c r="E5" s="195">
        <f>+'Rekap peb'!H10</f>
        <v>920293000</v>
      </c>
    </row>
    <row r="6" spans="2:5" x14ac:dyDescent="0.25">
      <c r="B6" t="s">
        <v>288</v>
      </c>
      <c r="C6" s="195">
        <f>+'Rekap jan'!C11</f>
        <v>659000000</v>
      </c>
      <c r="D6" s="195">
        <f>+'Rekap peb'!F11</f>
        <v>24700000</v>
      </c>
      <c r="E6" s="195">
        <f>+'Rekap peb'!H11</f>
        <v>24625000</v>
      </c>
    </row>
    <row r="7" spans="2:5" x14ac:dyDescent="0.25">
      <c r="B7" t="s">
        <v>289</v>
      </c>
      <c r="C7" s="195">
        <f>+'Rekap peb'!C13</f>
        <v>2208185650</v>
      </c>
      <c r="D7" s="195">
        <f>+'Rekap peb'!F13</f>
        <v>54241200</v>
      </c>
      <c r="E7" s="195">
        <f>+'Rekap peb'!H13</f>
        <v>40741950</v>
      </c>
    </row>
    <row r="8" spans="2:5" x14ac:dyDescent="0.25">
      <c r="B8" t="s">
        <v>284</v>
      </c>
      <c r="C8" s="195">
        <f>+'Rekap jan'!C14</f>
        <v>6035935000</v>
      </c>
      <c r="D8" s="195">
        <f>+'Rekap peb'!F14</f>
        <v>15500250</v>
      </c>
      <c r="E8" s="195">
        <f>+'Rekap peb'!H14</f>
        <v>14449756</v>
      </c>
    </row>
    <row r="9" spans="2:5" x14ac:dyDescent="0.25">
      <c r="B9" t="s">
        <v>290</v>
      </c>
      <c r="C9" s="195">
        <f>+'Rekap jan'!C15</f>
        <v>2422510300</v>
      </c>
      <c r="D9" s="195">
        <f>+'Rekap peb'!F15</f>
        <v>0</v>
      </c>
      <c r="E9" s="195">
        <f>+'Rekap peb'!H15</f>
        <v>0</v>
      </c>
    </row>
    <row r="10" spans="2:5" x14ac:dyDescent="0.25">
      <c r="B10" t="s">
        <v>294</v>
      </c>
      <c r="C10" s="195">
        <f>+'Rekap jan'!C17</f>
        <v>1117572900</v>
      </c>
      <c r="D10" s="195">
        <f>+'Rekap peb'!F17</f>
        <v>54893500</v>
      </c>
      <c r="E10" s="195">
        <f>+'Rekap peb'!H15</f>
        <v>0</v>
      </c>
    </row>
    <row r="11" spans="2:5" x14ac:dyDescent="0.25">
      <c r="B11" t="s">
        <v>291</v>
      </c>
      <c r="C11" s="195">
        <f>+'Rekap jan'!C18</f>
        <v>1189109400</v>
      </c>
      <c r="D11" s="195">
        <f>+'Rekap peb'!F18</f>
        <v>45751500</v>
      </c>
      <c r="E11" s="195">
        <f>+'Rekap peb'!H18</f>
        <v>45445500</v>
      </c>
    </row>
    <row r="12" spans="2:5" x14ac:dyDescent="0.25">
      <c r="B12" t="s">
        <v>292</v>
      </c>
      <c r="C12" s="195">
        <f>+'Rekap jan'!C19</f>
        <v>12180425000</v>
      </c>
      <c r="D12" s="195">
        <f>+'Rekap peb'!F19</f>
        <v>1252965610</v>
      </c>
      <c r="E12" s="195">
        <f>+'Rekap peb'!H19</f>
        <v>1252255704</v>
      </c>
    </row>
    <row r="13" spans="2:5" x14ac:dyDescent="0.25">
      <c r="B13" t="s">
        <v>293</v>
      </c>
      <c r="C13" s="195">
        <f>+'Rekap jan'!C20</f>
        <v>25992643593</v>
      </c>
      <c r="D13" s="195">
        <f>+'Rekap peb'!F20</f>
        <v>1434268818</v>
      </c>
      <c r="E13" s="195">
        <f>+'Rekap peb'!H20</f>
        <v>1433056118</v>
      </c>
    </row>
    <row r="14" spans="2:5" x14ac:dyDescent="0.25">
      <c r="C14" s="308">
        <f>SUM(C4:C13)</f>
        <v>70899028943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589"/>
  <sheetViews>
    <sheetView view="pageBreakPreview" topLeftCell="C97" zoomScale="112" zoomScaleNormal="100" zoomScaleSheetLayoutView="112" workbookViewId="0">
      <selection activeCell="I18" sqref="I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6.28515625" style="68" customWidth="1"/>
    <col min="4" max="4" width="15.85546875" style="5" hidden="1" customWidth="1"/>
    <col min="5" max="5" width="18.1406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20" width="17.140625" style="68" customWidth="1"/>
    <col min="21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336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75604220</v>
      </c>
      <c r="H12" s="10">
        <f t="shared" si="0"/>
        <v>139785420</v>
      </c>
      <c r="I12" s="10">
        <f>+G12+H12</f>
        <v>215389640</v>
      </c>
      <c r="J12" s="168">
        <f>+I12/F12</f>
        <v>0.19207169452033404</v>
      </c>
      <c r="K12" s="10">
        <f t="shared" ref="K12:L12" si="1">+K14+K24</f>
        <v>75437020</v>
      </c>
      <c r="L12" s="10">
        <f t="shared" si="1"/>
        <v>123947300</v>
      </c>
      <c r="M12" s="180">
        <f>+K12+L12</f>
        <v>199384320</v>
      </c>
      <c r="N12" s="169">
        <f>+M12/F12</f>
        <v>0.17779910028720292</v>
      </c>
      <c r="O12" s="10">
        <f>+F12-M12</f>
        <v>922017980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324">
        <f>+D16+D20+D18</f>
        <v>923587300</v>
      </c>
      <c r="E14" s="325"/>
      <c r="F14" s="325">
        <f>+D14+E14</f>
        <v>923587300</v>
      </c>
      <c r="G14" s="324">
        <f>+G16+G20+G18</f>
        <v>71749420</v>
      </c>
      <c r="H14" s="324">
        <f>+H16+H20+H18</f>
        <v>125860220</v>
      </c>
      <c r="I14" s="10">
        <f>+G14+H14</f>
        <v>197609640</v>
      </c>
      <c r="J14" s="168">
        <f>+I14/F14</f>
        <v>0.21395881039074488</v>
      </c>
      <c r="K14" s="324">
        <f>+K16+K20+K18</f>
        <v>71747020</v>
      </c>
      <c r="L14" s="324">
        <f>+L16+L20+L18</f>
        <v>109897300</v>
      </c>
      <c r="M14" s="180">
        <f>+K14+L14</f>
        <v>181644320</v>
      </c>
      <c r="N14" s="169">
        <f>+M14/F14</f>
        <v>0.19667260474456502</v>
      </c>
      <c r="O14" s="10">
        <f>+F14-M14</f>
        <v>741942980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326">
        <v>410359700</v>
      </c>
      <c r="E16" s="326"/>
      <c r="F16" s="326">
        <f>+D16+E16</f>
        <v>410359700</v>
      </c>
      <c r="G16" s="80">
        <f>+peb!I16</f>
        <v>41699420</v>
      </c>
      <c r="H16" s="80">
        <f>10710000+4850000+12943200+34968000+17754620</f>
        <v>81225820</v>
      </c>
      <c r="I16" s="15">
        <f>+G16+H16</f>
        <v>122925240</v>
      </c>
      <c r="J16" s="143">
        <f>+I16/F16</f>
        <v>0.29955485394886489</v>
      </c>
      <c r="K16" s="80">
        <f>+peb!M16</f>
        <v>41697020</v>
      </c>
      <c r="L16" s="80">
        <f>10710000+4850000+12943200+34968000+8513700</f>
        <v>71984900</v>
      </c>
      <c r="M16" s="80">
        <f>+K16+L16</f>
        <v>113681920</v>
      </c>
      <c r="N16" s="171">
        <f>+M16/F16</f>
        <v>0.27702993252017682</v>
      </c>
      <c r="O16" s="15">
        <f>+F16-M16</f>
        <v>296677780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326"/>
      <c r="E17" s="326"/>
      <c r="F17" s="326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326">
        <v>428227600</v>
      </c>
      <c r="E18" s="326"/>
      <c r="F18" s="326">
        <f>+D18+E18</f>
        <v>428227600</v>
      </c>
      <c r="G18" s="80">
        <f>+peb!I18</f>
        <v>30050000</v>
      </c>
      <c r="H18" s="79">
        <f>4700000+20010000+17122000</f>
        <v>41832000</v>
      </c>
      <c r="I18" s="15">
        <f>+G18+H18</f>
        <v>71882000</v>
      </c>
      <c r="J18" s="143">
        <f>+I18/F18</f>
        <v>0.16785933461551755</v>
      </c>
      <c r="K18" s="80">
        <f>+peb!M18</f>
        <v>30050000</v>
      </c>
      <c r="L18" s="80">
        <f>4700000+20010000+10400000</f>
        <v>35110000</v>
      </c>
      <c r="M18" s="80">
        <f>+K18+L18</f>
        <v>65160000</v>
      </c>
      <c r="N18" s="171">
        <f>+M18/F18</f>
        <v>0.15216207456035061</v>
      </c>
      <c r="O18" s="15">
        <f>+F18-M18</f>
        <v>363067600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326"/>
      <c r="E19" s="326"/>
      <c r="F19" s="326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326">
        <v>85000000</v>
      </c>
      <c r="E20" s="326"/>
      <c r="F20" s="326">
        <f>+D20+E20</f>
        <v>85000000</v>
      </c>
      <c r="G20" s="80">
        <f>+peb!I20</f>
        <v>0</v>
      </c>
      <c r="H20" s="79">
        <v>2802400</v>
      </c>
      <c r="I20" s="15">
        <f>+G20+H20</f>
        <v>2802400</v>
      </c>
      <c r="J20" s="143">
        <f>+I20/F20</f>
        <v>3.2969411764705879E-2</v>
      </c>
      <c r="K20" s="80">
        <f>+peb!M20</f>
        <v>0</v>
      </c>
      <c r="L20" s="80">
        <v>2802400</v>
      </c>
      <c r="M20" s="80">
        <f>+K20+L20</f>
        <v>2802400</v>
      </c>
      <c r="N20" s="171">
        <f>+M20/F20</f>
        <v>3.2969411764705879E-2</v>
      </c>
      <c r="O20" s="15">
        <f>+F20-M20</f>
        <v>82197600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326"/>
      <c r="E21" s="326"/>
      <c r="F21" s="326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21" customHeight="1" x14ac:dyDescent="0.2">
      <c r="A22" s="226"/>
      <c r="B22" s="231"/>
      <c r="C22" s="210" t="s">
        <v>171</v>
      </c>
      <c r="D22" s="327">
        <f>+D16+D20+D18</f>
        <v>923587300</v>
      </c>
      <c r="E22" s="328"/>
      <c r="F22" s="327">
        <f>+F16+F20+F18</f>
        <v>923587300</v>
      </c>
      <c r="G22" s="327">
        <f t="shared" ref="G22" si="6">+G16+G20+G18</f>
        <v>71749420</v>
      </c>
      <c r="H22" s="327">
        <f>+H16+H20+H18</f>
        <v>125860220</v>
      </c>
      <c r="I22" s="141">
        <f>+G22+H22</f>
        <v>197609640</v>
      </c>
      <c r="J22" s="233">
        <f>+I22/F22</f>
        <v>0.21395881039074488</v>
      </c>
      <c r="K22" s="327">
        <f t="shared" ref="K22:L22" si="7">+K16+K20+K18</f>
        <v>71747020</v>
      </c>
      <c r="L22" s="327">
        <f t="shared" si="7"/>
        <v>109897300</v>
      </c>
      <c r="M22" s="232">
        <f>+K22+L22</f>
        <v>181644320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324"/>
      <c r="E23" s="325"/>
      <c r="F23" s="324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324">
        <f>+D26</f>
        <v>197815000</v>
      </c>
      <c r="E24" s="325"/>
      <c r="F24" s="324">
        <f>+D24+E24</f>
        <v>197815000</v>
      </c>
      <c r="G24" s="324">
        <f t="shared" ref="G24" si="8">+G26</f>
        <v>3854800</v>
      </c>
      <c r="H24" s="324">
        <f>+H26</f>
        <v>13925200</v>
      </c>
      <c r="I24" s="10">
        <f>+G24+H24</f>
        <v>17780000</v>
      </c>
      <c r="J24" s="168">
        <f>+I24/F24</f>
        <v>8.9881960417561857E-2</v>
      </c>
      <c r="K24" s="324">
        <f>+K26</f>
        <v>3690000</v>
      </c>
      <c r="L24" s="324">
        <f t="shared" ref="L24:M24" si="9">+L26</f>
        <v>14050000</v>
      </c>
      <c r="M24" s="324">
        <f t="shared" si="9"/>
        <v>17740000</v>
      </c>
      <c r="N24" s="169">
        <f>+M24/F24</f>
        <v>8.9679751282764203E-2</v>
      </c>
      <c r="O24" s="10">
        <f t="shared" ref="O24" si="10">+D24-M24</f>
        <v>180075000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326"/>
      <c r="E25" s="329"/>
      <c r="F25" s="329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326">
        <v>197815000</v>
      </c>
      <c r="E26" s="329"/>
      <c r="F26" s="326">
        <f>+D26+E26</f>
        <v>197815000</v>
      </c>
      <c r="G26" s="80">
        <f>+peb!I26</f>
        <v>3854800</v>
      </c>
      <c r="H26" s="79">
        <f>10500000+3425200</f>
        <v>13925200</v>
      </c>
      <c r="I26" s="15">
        <f>+G26+H26</f>
        <v>17780000</v>
      </c>
      <c r="J26" s="143">
        <f>+I26/F26</f>
        <v>8.9881960417561857E-2</v>
      </c>
      <c r="K26" s="80">
        <f>+peb!M26</f>
        <v>3690000</v>
      </c>
      <c r="L26" s="80">
        <f>10500000+3550000</f>
        <v>14050000</v>
      </c>
      <c r="M26" s="80">
        <f>+K26+L26</f>
        <v>17740000</v>
      </c>
      <c r="N26" s="171">
        <f>+M26/F26</f>
        <v>8.9679751282764203E-2</v>
      </c>
      <c r="O26" s="15">
        <f>+F26-M26</f>
        <v>180075000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326"/>
      <c r="E27" s="329"/>
      <c r="F27" s="326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23.25" customHeight="1" x14ac:dyDescent="0.2">
      <c r="A28" s="226"/>
      <c r="B28" s="235"/>
      <c r="C28" s="223" t="s">
        <v>171</v>
      </c>
      <c r="D28" s="327">
        <f>+D26</f>
        <v>197815000</v>
      </c>
      <c r="E28" s="327">
        <f t="shared" ref="E28" si="13">+E26</f>
        <v>0</v>
      </c>
      <c r="F28" s="327">
        <f>+D28+E28</f>
        <v>197815000</v>
      </c>
      <c r="G28" s="327">
        <f t="shared" ref="G28:H28" si="14">+G26</f>
        <v>3854800</v>
      </c>
      <c r="H28" s="327">
        <f t="shared" si="14"/>
        <v>13925200</v>
      </c>
      <c r="I28" s="232">
        <f>+G28+H28</f>
        <v>17780000</v>
      </c>
      <c r="J28" s="233">
        <f>+I28/F28</f>
        <v>8.9881960417561857E-2</v>
      </c>
      <c r="K28" s="327">
        <f t="shared" ref="K28:L28" si="15">+K26</f>
        <v>3690000</v>
      </c>
      <c r="L28" s="327">
        <f t="shared" si="15"/>
        <v>14050000</v>
      </c>
      <c r="M28" s="232">
        <f>+K28+L28</f>
        <v>17740000</v>
      </c>
      <c r="N28" s="173">
        <f>+M28/F28</f>
        <v>8.9679751282764203E-2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75604220</v>
      </c>
      <c r="H30" s="364">
        <f t="shared" si="16"/>
        <v>139785420</v>
      </c>
      <c r="I30" s="364">
        <f>+G30+H30</f>
        <v>215389640</v>
      </c>
      <c r="J30" s="368">
        <f>+I30/F30</f>
        <v>0.19207169452033404</v>
      </c>
      <c r="K30" s="364">
        <f t="shared" ref="K30:L30" si="17">K12</f>
        <v>75437020</v>
      </c>
      <c r="L30" s="364">
        <f t="shared" si="17"/>
        <v>123947300</v>
      </c>
      <c r="M30" s="364">
        <f>+K30+L30</f>
        <v>199384320</v>
      </c>
      <c r="N30" s="366">
        <f>+M30/F30</f>
        <v>0.17779910028720292</v>
      </c>
      <c r="O30" s="364">
        <f>+F30-M30</f>
        <v>922017980</v>
      </c>
      <c r="P30" s="77"/>
      <c r="Q30" s="6" t="str">
        <f t="shared" ref="Q30:Q31" si="18">IF(M30&lt;=I30,"OKE","Salah")</f>
        <v>OKE</v>
      </c>
      <c r="R30" s="6"/>
    </row>
    <row r="31" spans="1:19" ht="14.2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24700000</v>
      </c>
      <c r="H35" s="11">
        <f t="shared" si="19"/>
        <v>36875000</v>
      </c>
      <c r="I35" s="10">
        <f>+G35+H35</f>
        <v>61575000</v>
      </c>
      <c r="J35" s="168">
        <f>+I35/F35</f>
        <v>9.3437025796661605E-2</v>
      </c>
      <c r="K35" s="10">
        <f t="shared" ref="K35:L35" si="20">K45</f>
        <v>24625000</v>
      </c>
      <c r="L35" s="10">
        <f t="shared" si="20"/>
        <v>35695500</v>
      </c>
      <c r="M35" s="10">
        <f>+K35+L35</f>
        <v>60320500</v>
      </c>
      <c r="N35" s="169">
        <f>+M35/F35</f>
        <v>9.1533383915022762E-2</v>
      </c>
      <c r="O35" s="10">
        <f>+F35-M35</f>
        <v>598679500</v>
      </c>
      <c r="P35" s="77"/>
      <c r="Q35" s="6" t="str">
        <f t="shared" ref="Q35:Q60" si="21">IF(M35&lt;=I35,"OKE","Salah")</f>
        <v>OKE</v>
      </c>
      <c r="R35" s="6"/>
    </row>
    <row r="36" spans="1:19" ht="8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324">
        <f>+D39+D41+D43</f>
        <v>659000000</v>
      </c>
      <c r="E37" s="325"/>
      <c r="F37" s="324">
        <f>+D37+E37</f>
        <v>659000000</v>
      </c>
      <c r="G37" s="194">
        <f>+G39+G41+G43</f>
        <v>24700000</v>
      </c>
      <c r="H37" s="194">
        <f>+H39+H41+H43</f>
        <v>36875000</v>
      </c>
      <c r="I37" s="180">
        <f>+G37+H37</f>
        <v>61575000</v>
      </c>
      <c r="J37" s="168">
        <f>+I37/F37</f>
        <v>9.3437025796661605E-2</v>
      </c>
      <c r="K37" s="194">
        <f>+K39+K41+K43</f>
        <v>24625000</v>
      </c>
      <c r="L37" s="194">
        <f>+L39+L41+L43</f>
        <v>35695500</v>
      </c>
      <c r="M37" s="180">
        <f>+K37+L37</f>
        <v>60320500</v>
      </c>
      <c r="N37" s="169">
        <f>+M37/F37</f>
        <v>9.1533383915022762E-2</v>
      </c>
      <c r="O37" s="10">
        <f>+F37-M37</f>
        <v>598679500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326"/>
      <c r="E38" s="329"/>
      <c r="F38" s="326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326">
        <v>160000000</v>
      </c>
      <c r="E39" s="329"/>
      <c r="F39" s="326">
        <f>+D39+E39</f>
        <v>160000000</v>
      </c>
      <c r="G39" s="80">
        <f>+peb!I39</f>
        <v>0</v>
      </c>
      <c r="H39" s="79">
        <f>12250000+17850000</f>
        <v>30100000</v>
      </c>
      <c r="I39" s="80">
        <f>+G39+H39</f>
        <v>30100000</v>
      </c>
      <c r="J39" s="143">
        <f>+I39/F39</f>
        <v>0.18812499999999999</v>
      </c>
      <c r="K39" s="80">
        <f>+peb!M39</f>
        <v>0</v>
      </c>
      <c r="L39" s="80">
        <f>12250000+17445500</f>
        <v>29695500</v>
      </c>
      <c r="M39" s="80">
        <f>+K39+L39</f>
        <v>29695500</v>
      </c>
      <c r="N39" s="171">
        <f>+M39/F39</f>
        <v>0.18559687499999999</v>
      </c>
      <c r="O39" s="15">
        <f>+F39-M39</f>
        <v>130304500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326"/>
      <c r="E40" s="329"/>
      <c r="F40" s="326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326">
        <v>319000000</v>
      </c>
      <c r="E41" s="329"/>
      <c r="F41" s="326">
        <f>+D41+E41</f>
        <v>319000000</v>
      </c>
      <c r="G41" s="80">
        <f>+peb!I41</f>
        <v>24050000</v>
      </c>
      <c r="H41" s="30">
        <v>6775000</v>
      </c>
      <c r="I41" s="80">
        <f>+G41+H41</f>
        <v>30825000</v>
      </c>
      <c r="J41" s="143">
        <f>+I41/F41</f>
        <v>9.6630094043887144E-2</v>
      </c>
      <c r="K41" s="80">
        <f>+peb!M41</f>
        <v>23975000</v>
      </c>
      <c r="L41" s="15">
        <v>6000000</v>
      </c>
      <c r="M41" s="80">
        <f>+K41+L41</f>
        <v>29975000</v>
      </c>
      <c r="N41" s="171">
        <f>+M41/F41</f>
        <v>9.3965517241379304E-2</v>
      </c>
      <c r="O41" s="15">
        <f>+F41-M41</f>
        <v>289025000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326"/>
      <c r="E42" s="329"/>
      <c r="F42" s="326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326">
        <v>180000000</v>
      </c>
      <c r="E43" s="329"/>
      <c r="F43" s="326">
        <f>+D43+E43</f>
        <v>180000000</v>
      </c>
      <c r="G43" s="80">
        <f>+peb!I43</f>
        <v>650000</v>
      </c>
      <c r="H43" s="79">
        <v>0</v>
      </c>
      <c r="I43" s="80">
        <f>+G43+H43</f>
        <v>650000</v>
      </c>
      <c r="J43" s="143">
        <f>+I43/F43</f>
        <v>3.6111111111111109E-3</v>
      </c>
      <c r="K43" s="80">
        <f>+peb!M43</f>
        <v>650000</v>
      </c>
      <c r="L43" s="80">
        <v>0</v>
      </c>
      <c r="M43" s="80">
        <f>+K43+L43</f>
        <v>650000</v>
      </c>
      <c r="N43" s="171">
        <f>+M43/F43</f>
        <v>3.6111111111111109E-3</v>
      </c>
      <c r="O43" s="15">
        <f>+F43-M43</f>
        <v>179350000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330"/>
      <c r="M44" s="76"/>
      <c r="N44" s="86"/>
      <c r="O44" s="10"/>
      <c r="Q44" s="6"/>
      <c r="R44" s="6"/>
      <c r="S44" s="68"/>
    </row>
    <row r="45" spans="1:19" ht="21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24700000</v>
      </c>
      <c r="H45" s="10">
        <f>SUM(H39:H43)</f>
        <v>36875000</v>
      </c>
      <c r="I45" s="10">
        <f>+G45+H45</f>
        <v>61575000</v>
      </c>
      <c r="J45" s="168">
        <f>+I45/F45</f>
        <v>9.3437025796661605E-2</v>
      </c>
      <c r="K45" s="10">
        <f>SUM(K39:K43)</f>
        <v>24625000</v>
      </c>
      <c r="L45" s="10">
        <f>SUM(L39:L43)</f>
        <v>35695500</v>
      </c>
      <c r="M45" s="10">
        <f>+K45+L45</f>
        <v>60320500</v>
      </c>
      <c r="N45" s="169">
        <f>+M45/F45</f>
        <v>9.1533383915022762E-2</v>
      </c>
      <c r="O45" s="10">
        <f>+D45-M45</f>
        <v>598679500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24700000</v>
      </c>
      <c r="H47" s="387">
        <f t="shared" si="23"/>
        <v>36875000</v>
      </c>
      <c r="I47" s="387">
        <f>+G47+H47</f>
        <v>61575000</v>
      </c>
      <c r="J47" s="397">
        <f>+I47/F47</f>
        <v>9.3437025796661605E-2</v>
      </c>
      <c r="K47" s="387">
        <f t="shared" ref="K47:M47" si="24">K45</f>
        <v>24625000</v>
      </c>
      <c r="L47" s="387">
        <f t="shared" si="24"/>
        <v>35695500</v>
      </c>
      <c r="M47" s="387">
        <f t="shared" si="24"/>
        <v>60320500</v>
      </c>
      <c r="N47" s="394">
        <f>+M47/F47</f>
        <v>9.1533383915022762E-2</v>
      </c>
      <c r="O47" s="387">
        <f>+F47-M47</f>
        <v>598679500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27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10">
        <f t="shared" ref="G52:H52" si="26">+G62</f>
        <v>920302000</v>
      </c>
      <c r="H52" s="10">
        <f t="shared" si="26"/>
        <v>1919441000</v>
      </c>
      <c r="I52" s="10">
        <f>+G52+H52</f>
        <v>2839743000</v>
      </c>
      <c r="J52" s="168">
        <f>+I52/F52</f>
        <v>0.15800713998732088</v>
      </c>
      <c r="K52" s="10">
        <f t="shared" ref="K52:L52" si="27">+K62</f>
        <v>920293000</v>
      </c>
      <c r="L52" s="10">
        <f t="shared" si="27"/>
        <v>1903113500</v>
      </c>
      <c r="M52" s="10">
        <f>+K52+L52</f>
        <v>2823406500</v>
      </c>
      <c r="N52" s="169">
        <f>+M52/F52</f>
        <v>0.15709815503959751</v>
      </c>
      <c r="O52" s="10">
        <f>+F52-M52</f>
        <v>15148838300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80"/>
      <c r="H53" s="79"/>
      <c r="I53" s="80"/>
      <c r="J53" s="86"/>
      <c r="K53" s="80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324">
        <f>SUM(D56:D60)</f>
        <v>17972244800</v>
      </c>
      <c r="E54" s="325"/>
      <c r="F54" s="324">
        <f>+D54+E54</f>
        <v>17972244800</v>
      </c>
      <c r="G54" s="324">
        <f t="shared" ref="G54:H54" si="28">SUM(G56:G60)</f>
        <v>920302000</v>
      </c>
      <c r="H54" s="324">
        <f t="shared" si="28"/>
        <v>1919441000</v>
      </c>
      <c r="I54" s="10">
        <f>+G54+H54</f>
        <v>2839743000</v>
      </c>
      <c r="J54" s="168">
        <f>+I54/F54</f>
        <v>0.15800713998732088</v>
      </c>
      <c r="K54" s="324">
        <f>SUM(K56:K60)</f>
        <v>920293000</v>
      </c>
      <c r="L54" s="180"/>
      <c r="M54" s="180">
        <f>+K54+L54</f>
        <v>920293000</v>
      </c>
      <c r="N54" s="169">
        <f>+M54/F54</f>
        <v>5.1206346799816574E-2</v>
      </c>
      <c r="O54" s="10">
        <f>+F54-M54</f>
        <v>17051951800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326"/>
      <c r="E55" s="329"/>
      <c r="F55" s="326"/>
      <c r="G55" s="78"/>
      <c r="H55" s="79"/>
      <c r="I55" s="15"/>
      <c r="J55" s="143"/>
      <c r="K55" s="7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326">
        <v>14135421500</v>
      </c>
      <c r="E56" s="329"/>
      <c r="F56" s="326">
        <f>+D56+E56</f>
        <v>14135421500</v>
      </c>
      <c r="G56" s="80">
        <f>+peb!I56</f>
        <v>873552000</v>
      </c>
      <c r="H56" s="79">
        <f>2800000+93102500+12288000+29500000+6350000+44712000</f>
        <v>188752500</v>
      </c>
      <c r="I56" s="15">
        <f>+G56+H56</f>
        <v>1062304500</v>
      </c>
      <c r="J56" s="143">
        <f>+I56/F56</f>
        <v>7.5151950721809038E-2</v>
      </c>
      <c r="K56" s="80">
        <f>+peb!M56</f>
        <v>873552000</v>
      </c>
      <c r="L56" s="80">
        <f>2800000+93102500+12288000+29500000+6350000+35052000</f>
        <v>179092500</v>
      </c>
      <c r="M56" s="80">
        <f>+K56+L56</f>
        <v>1052644500</v>
      </c>
      <c r="N56" s="171">
        <f>+M56/F56</f>
        <v>7.4468561124972465E-2</v>
      </c>
      <c r="O56" s="15">
        <f>+F56-M56</f>
        <v>13082777000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326"/>
      <c r="E57" s="329"/>
      <c r="F57" s="326"/>
      <c r="G57" s="78"/>
      <c r="H57" s="79"/>
      <c r="I57" s="15"/>
      <c r="J57" s="143"/>
      <c r="K57" s="7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326">
        <v>2832643300</v>
      </c>
      <c r="E58" s="329"/>
      <c r="F58" s="326">
        <f>+D58+E58</f>
        <v>2832643300</v>
      </c>
      <c r="G58" s="80">
        <f>+peb!I58</f>
        <v>0</v>
      </c>
      <c r="H58" s="79">
        <f>492000000+820000000+246000000</f>
        <v>1558000000</v>
      </c>
      <c r="I58" s="15">
        <f>+G58+H58</f>
        <v>1558000000</v>
      </c>
      <c r="J58" s="143">
        <f>+I58/F58</f>
        <v>0.5500163045590668</v>
      </c>
      <c r="K58" s="80">
        <f>+peb!M58</f>
        <v>0</v>
      </c>
      <c r="L58" s="80">
        <f>492000000+820000000+246000000</f>
        <v>1558000000</v>
      </c>
      <c r="M58" s="80">
        <f>+K58+L58</f>
        <v>1558000000</v>
      </c>
      <c r="N58" s="171">
        <f>+M58/F58</f>
        <v>0.5500163045590668</v>
      </c>
      <c r="O58" s="15">
        <f>+F58-M58</f>
        <v>1274643300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326"/>
      <c r="E59" s="329"/>
      <c r="F59" s="326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326">
        <v>1004180000</v>
      </c>
      <c r="E60" s="329"/>
      <c r="F60" s="326">
        <f>+D60+E60</f>
        <v>1004180000</v>
      </c>
      <c r="G60" s="80">
        <f>+peb!I60</f>
        <v>46750000</v>
      </c>
      <c r="H60" s="79">
        <f>112700000+28738500+31250000</f>
        <v>172688500</v>
      </c>
      <c r="I60" s="15">
        <f>+G60+H60</f>
        <v>219438500</v>
      </c>
      <c r="J60" s="143">
        <f>+I60/F60</f>
        <v>0.21852506522734969</v>
      </c>
      <c r="K60" s="80">
        <f>+peb!M60</f>
        <v>46741000</v>
      </c>
      <c r="L60" s="80">
        <f>112700000+31250000+22071000</f>
        <v>166021000</v>
      </c>
      <c r="M60" s="80">
        <f>+K60+L60</f>
        <v>212762000</v>
      </c>
      <c r="N60" s="171">
        <f>+M60/F60</f>
        <v>0.21187635682845704</v>
      </c>
      <c r="O60" s="15">
        <f>+F60-M60</f>
        <v>791418000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7.25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364">
        <f>SUM(G56:G60)</f>
        <v>920302000</v>
      </c>
      <c r="H62" s="364">
        <f>SUM(H56:H60)</f>
        <v>1919441000</v>
      </c>
      <c r="I62" s="364">
        <f>H62+G62</f>
        <v>2839743000</v>
      </c>
      <c r="J62" s="368">
        <f>+I62/F62</f>
        <v>0.15800713998732088</v>
      </c>
      <c r="K62" s="364">
        <f>SUM(K56:K60)</f>
        <v>920293000</v>
      </c>
      <c r="L62" s="364">
        <f>SUM(L56:L60)</f>
        <v>1903113500</v>
      </c>
      <c r="M62" s="364">
        <f>K62+L62</f>
        <v>2823406500</v>
      </c>
      <c r="N62" s="366">
        <f>+M62/F62</f>
        <v>0.15709815503959751</v>
      </c>
      <c r="O62" s="364">
        <f>+F62-M62</f>
        <v>15148838300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365"/>
      <c r="H63" s="365"/>
      <c r="I63" s="365"/>
      <c r="J63" s="369"/>
      <c r="K63" s="365"/>
      <c r="L63" s="365"/>
      <c r="M63" s="365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7.100000000000001" customHeight="1" x14ac:dyDescent="0.2">
      <c r="A67" s="74"/>
      <c r="B67" s="217" t="s">
        <v>158</v>
      </c>
      <c r="C67" s="33" t="s">
        <v>245</v>
      </c>
      <c r="D67" s="331">
        <f>+D69</f>
        <v>6035935000</v>
      </c>
      <c r="E67" s="331">
        <f t="shared" ref="E67" si="32">+E77</f>
        <v>0</v>
      </c>
      <c r="F67" s="331">
        <f>+D67+E67</f>
        <v>6035935000</v>
      </c>
      <c r="G67" s="331">
        <f t="shared" ref="G67" si="33">+G77</f>
        <v>15500250</v>
      </c>
      <c r="H67" s="331">
        <f>+H77</f>
        <v>38355000</v>
      </c>
      <c r="I67" s="10">
        <f>+G67+H67</f>
        <v>53855250</v>
      </c>
      <c r="J67" s="168">
        <f>+I67/F67</f>
        <v>8.9224370375095164E-3</v>
      </c>
      <c r="K67" s="180">
        <f>+K77</f>
        <v>14449756</v>
      </c>
      <c r="L67" s="180">
        <f>+L77</f>
        <v>37965050</v>
      </c>
      <c r="M67" s="180">
        <f>+K67+L67</f>
        <v>52414806</v>
      </c>
      <c r="N67" s="169">
        <f>+M67/F67</f>
        <v>8.6837923204938425E-3</v>
      </c>
      <c r="O67" s="10">
        <f>+F67-M67</f>
        <v>5983520194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326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324">
        <f>+D71+D73+D75</f>
        <v>6035935000</v>
      </c>
      <c r="E69" s="10"/>
      <c r="F69" s="325">
        <f>+D69+E69</f>
        <v>6035935000</v>
      </c>
      <c r="G69" s="180">
        <f>SUM(G71:G75)</f>
        <v>15500250</v>
      </c>
      <c r="H69" s="187"/>
      <c r="I69" s="180">
        <f>+G69+H69</f>
        <v>15500250</v>
      </c>
      <c r="J69" s="168">
        <f>+I69/F69</f>
        <v>2.5679948508391822E-3</v>
      </c>
      <c r="K69" s="193"/>
      <c r="L69" s="180"/>
      <c r="M69" s="180">
        <f>+K69+L69</f>
        <v>0</v>
      </c>
      <c r="N69" s="169">
        <f>+M69/F69</f>
        <v>0</v>
      </c>
      <c r="O69" s="10">
        <f>+F69-M69</f>
        <v>6035935000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326"/>
      <c r="E70" s="15"/>
      <c r="F70" s="326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326">
        <v>373700000</v>
      </c>
      <c r="E71" s="15"/>
      <c r="F71" s="326">
        <f>+D71+E71</f>
        <v>373700000</v>
      </c>
      <c r="G71" s="80">
        <f>+peb!I71</f>
        <v>9934000</v>
      </c>
      <c r="H71" s="79">
        <f>4245000</f>
        <v>4245000</v>
      </c>
      <c r="I71" s="80">
        <f>+G71+H71</f>
        <v>14179000</v>
      </c>
      <c r="J71" s="143">
        <f>+I71/F71</f>
        <v>3.7942199625367941E-2</v>
      </c>
      <c r="K71" s="80">
        <f>+peb!M71</f>
        <v>9933706</v>
      </c>
      <c r="L71" s="80">
        <f>4105400</f>
        <v>4105400</v>
      </c>
      <c r="M71" s="80">
        <f>+K71+L71</f>
        <v>14039106</v>
      </c>
      <c r="N71" s="171">
        <f>+M71/F71</f>
        <v>3.7567851217554189E-2</v>
      </c>
      <c r="O71" s="15">
        <f>+F71-M71</f>
        <v>359660894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326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326">
        <v>171360400</v>
      </c>
      <c r="E73" s="15"/>
      <c r="F73" s="329">
        <f>+D73+E73</f>
        <v>171360400</v>
      </c>
      <c r="G73" s="80">
        <f>+peb!I73</f>
        <v>4556250</v>
      </c>
      <c r="H73" s="79">
        <f>11610000+12250000+7500000</f>
        <v>31360000</v>
      </c>
      <c r="I73" s="80">
        <f>+G73+H73</f>
        <v>35916250</v>
      </c>
      <c r="J73" s="143">
        <f>+I73/F73</f>
        <v>0.20959480720166387</v>
      </c>
      <c r="K73" s="80">
        <f>+peb!M73</f>
        <v>3513150</v>
      </c>
      <c r="L73" s="80">
        <f>11610000+12250000+7294900</f>
        <v>31154900</v>
      </c>
      <c r="M73" s="80">
        <f>+K73+L73</f>
        <v>34668050</v>
      </c>
      <c r="N73" s="171">
        <f>+M73/F73</f>
        <v>0.20231074390582654</v>
      </c>
      <c r="O73" s="15">
        <f>+F73-M73</f>
        <v>136692350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326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326">
        <v>5490874600</v>
      </c>
      <c r="E75" s="15"/>
      <c r="F75" s="329">
        <f>+D75+E75</f>
        <v>5490874600</v>
      </c>
      <c r="G75" s="80">
        <f>+peb!I75</f>
        <v>1010000</v>
      </c>
      <c r="H75" s="79">
        <v>2750000</v>
      </c>
      <c r="I75" s="80">
        <f>+G75+H75</f>
        <v>3760000</v>
      </c>
      <c r="J75" s="143">
        <f>+I75/F75</f>
        <v>6.8477251328959501E-4</v>
      </c>
      <c r="K75" s="80">
        <f>+peb!M75</f>
        <v>1002900</v>
      </c>
      <c r="L75" s="80">
        <v>2704750</v>
      </c>
      <c r="M75" s="80">
        <f>+K75+L75</f>
        <v>3707650</v>
      </c>
      <c r="N75" s="171">
        <f>+M75/F75</f>
        <v>6.7523851300483164E-4</v>
      </c>
      <c r="O75" s="15">
        <f>+F75-M75</f>
        <v>5487166950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364">
        <f>SUM(G71:G75)</f>
        <v>15500250</v>
      </c>
      <c r="H77" s="364">
        <f>SUM(H71:H75)</f>
        <v>38355000</v>
      </c>
      <c r="I77" s="364">
        <f>+G77+H77</f>
        <v>53855250</v>
      </c>
      <c r="J77" s="368">
        <f>+I77/F77</f>
        <v>8.9224370375095164E-3</v>
      </c>
      <c r="K77" s="364">
        <f>SUM(K71:K75)</f>
        <v>14449756</v>
      </c>
      <c r="L77" s="364">
        <f>SUM(L71:L75)</f>
        <v>37965050</v>
      </c>
      <c r="M77" s="364">
        <f>+K77+L77</f>
        <v>52414806</v>
      </c>
      <c r="N77" s="366">
        <f>+M77/F77</f>
        <v>8.6837923204938425E-3</v>
      </c>
      <c r="O77" s="364">
        <f>+F77-M77</f>
        <v>5983520194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396"/>
      <c r="G78" s="396"/>
      <c r="H78" s="396"/>
      <c r="I78" s="396"/>
      <c r="J78" s="369"/>
      <c r="K78" s="39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54241200</v>
      </c>
      <c r="H82" s="10">
        <f t="shared" si="40"/>
        <v>109741950</v>
      </c>
      <c r="I82" s="10">
        <f>+G82+H82</f>
        <v>163983150</v>
      </c>
      <c r="J82" s="168">
        <f>+I82/F82</f>
        <v>7.4261487026690901E-2</v>
      </c>
      <c r="K82" s="10">
        <f t="shared" ref="K82:L82" si="41">+K83+K93</f>
        <v>40741950</v>
      </c>
      <c r="L82" s="10">
        <f t="shared" si="41"/>
        <v>107943000</v>
      </c>
      <c r="M82" s="10">
        <f>+K82+L82</f>
        <v>148684950</v>
      </c>
      <c r="N82" s="169">
        <f>+M82/F82</f>
        <v>6.7333536924307061E-2</v>
      </c>
      <c r="O82" s="10">
        <f>+F82-M82</f>
        <v>2059500700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>+G91</f>
        <v>32024300</v>
      </c>
      <c r="H83" s="10">
        <f>+H91</f>
        <v>109741950</v>
      </c>
      <c r="I83" s="180">
        <f>+G83+H83</f>
        <v>141766250</v>
      </c>
      <c r="J83" s="168">
        <f>+I83/F83</f>
        <v>7.5452449914363964E-2</v>
      </c>
      <c r="K83" s="10">
        <f>+K91</f>
        <v>24792000</v>
      </c>
      <c r="L83" s="10">
        <f>+L91</f>
        <v>105243000</v>
      </c>
      <c r="M83" s="180">
        <f>+K83+L83</f>
        <v>130035000</v>
      </c>
      <c r="N83" s="169">
        <f>+M83/F83</f>
        <v>6.9208710286223399E-2</v>
      </c>
      <c r="O83" s="10">
        <f>+O91+O96</f>
        <v>3938382700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332" t="s">
        <v>242</v>
      </c>
      <c r="D85" s="333">
        <v>274791900</v>
      </c>
      <c r="E85" s="333"/>
      <c r="F85" s="333">
        <f>+D85+E85</f>
        <v>274791900</v>
      </c>
      <c r="G85" s="284">
        <f>+peb!I85</f>
        <v>5000000</v>
      </c>
      <c r="H85" s="285">
        <v>40000000</v>
      </c>
      <c r="I85" s="284">
        <f>G85+H85</f>
        <v>45000000</v>
      </c>
      <c r="J85" s="287">
        <f>+I85/F85</f>
        <v>0.16376028551059912</v>
      </c>
      <c r="K85" s="284">
        <f>+peb!M85</f>
        <v>1800000</v>
      </c>
      <c r="L85" s="284">
        <v>40000000</v>
      </c>
      <c r="M85" s="284">
        <f>K85+L85</f>
        <v>41800000</v>
      </c>
      <c r="N85" s="288">
        <f>+M85/F85</f>
        <v>0.15211510965206762</v>
      </c>
      <c r="O85" s="286">
        <f>+F85-M85</f>
        <v>232991900</v>
      </c>
      <c r="P85" s="290"/>
      <c r="Q85" s="291" t="str">
        <f t="shared" si="42"/>
        <v>OKE</v>
      </c>
      <c r="R85" s="6"/>
      <c r="S85" s="68"/>
    </row>
    <row r="86" spans="1:19" s="26" customFormat="1" ht="20.25" customHeight="1" x14ac:dyDescent="0.25">
      <c r="A86" s="74"/>
      <c r="B86" s="29"/>
      <c r="C86" s="27"/>
      <c r="D86" s="326"/>
      <c r="E86" s="329"/>
      <c r="F86" s="326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326">
        <v>650261400</v>
      </c>
      <c r="E87" s="329"/>
      <c r="F87" s="326">
        <f>+D87+E87</f>
        <v>650261400</v>
      </c>
      <c r="G87" s="80">
        <f>+peb!I87</f>
        <v>468400</v>
      </c>
      <c r="H87" s="79">
        <f>29000000+34043000</f>
        <v>63043000</v>
      </c>
      <c r="I87" s="284">
        <f>G87+H87</f>
        <v>63511400</v>
      </c>
      <c r="J87" s="143"/>
      <c r="K87" s="80">
        <f>+peb!M87</f>
        <v>0</v>
      </c>
      <c r="L87" s="80">
        <f>29000000+31303000</f>
        <v>60303000</v>
      </c>
      <c r="M87" s="80">
        <f>+K87+L87</f>
        <v>60303000</v>
      </c>
      <c r="N87" s="171">
        <f>+M87/F87</f>
        <v>9.2736551792863609E-2</v>
      </c>
      <c r="O87" s="286">
        <f>+F87-M87</f>
        <v>589958400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326"/>
      <c r="E88" s="329"/>
      <c r="F88" s="326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21.75" customHeight="1" x14ac:dyDescent="0.25">
      <c r="A89" s="74">
        <v>2</v>
      </c>
      <c r="B89" s="29" t="s">
        <v>156</v>
      </c>
      <c r="C89" s="27" t="s">
        <v>296</v>
      </c>
      <c r="D89" s="326">
        <v>953828700</v>
      </c>
      <c r="E89" s="329"/>
      <c r="F89" s="326">
        <f>D89</f>
        <v>953828700</v>
      </c>
      <c r="G89" s="80">
        <f>+peb!I89</f>
        <v>26555900</v>
      </c>
      <c r="H89" s="79">
        <v>6698950</v>
      </c>
      <c r="I89" s="15">
        <f>+G89+H89</f>
        <v>33254850</v>
      </c>
      <c r="J89" s="143">
        <f>+I89/F89</f>
        <v>3.4864593610991153E-2</v>
      </c>
      <c r="K89" s="80">
        <f>+peb!M89</f>
        <v>22992000</v>
      </c>
      <c r="L89" s="80">
        <v>4940000</v>
      </c>
      <c r="M89" s="80">
        <f>+K89+L89</f>
        <v>27932000</v>
      </c>
      <c r="N89" s="171">
        <f>+M89/F89</f>
        <v>2.9284084238605946E-2</v>
      </c>
      <c r="O89" s="15">
        <f>+F89-M89</f>
        <v>925896700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334"/>
      <c r="D90" s="326"/>
      <c r="E90" s="329"/>
      <c r="F90" s="326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2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3">SUM(G85:G90)</f>
        <v>32024300</v>
      </c>
      <c r="H91" s="141">
        <f t="shared" si="43"/>
        <v>109741950</v>
      </c>
      <c r="I91" s="232">
        <f>+G91+H91</f>
        <v>141766250</v>
      </c>
      <c r="J91" s="176">
        <f>+I91/F91</f>
        <v>7.5452449914363964E-2</v>
      </c>
      <c r="K91" s="141">
        <f t="shared" ref="K91" si="44">SUM(K85:K90)</f>
        <v>24792000</v>
      </c>
      <c r="L91" s="141">
        <f>SUM(L85:L90)</f>
        <v>105243000</v>
      </c>
      <c r="M91" s="232">
        <f>+K91+L91</f>
        <v>130035000</v>
      </c>
      <c r="N91" s="173">
        <f>+M91/F91</f>
        <v>6.9208710286223399E-2</v>
      </c>
      <c r="O91" s="141">
        <f>SUM(O85:O90)</f>
        <v>1748847000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22216900</v>
      </c>
      <c r="H93" s="10">
        <f t="shared" si="45"/>
        <v>0</v>
      </c>
      <c r="I93" s="180">
        <f>+G93+H93</f>
        <v>22216900</v>
      </c>
      <c r="J93" s="168">
        <f>+I93/F93</f>
        <v>6.7466303516526466E-2</v>
      </c>
      <c r="K93" s="10">
        <f t="shared" ref="K93:L93" si="46">+K95</f>
        <v>15949950</v>
      </c>
      <c r="L93" s="10">
        <f t="shared" si="46"/>
        <v>2700000</v>
      </c>
      <c r="M93" s="180">
        <f>+K93+L93</f>
        <v>18649950</v>
      </c>
      <c r="N93" s="169">
        <f>+M93/F93</f>
        <v>5.6634507391582205E-2</v>
      </c>
      <c r="O93" s="10">
        <f>+F93-M93</f>
        <v>310653700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326"/>
      <c r="E94" s="326"/>
      <c r="F94" s="326"/>
      <c r="G94" s="335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334" t="s">
        <v>311</v>
      </c>
      <c r="D95" s="326">
        <v>365942800</v>
      </c>
      <c r="E95" s="329">
        <v>-36639150</v>
      </c>
      <c r="F95" s="326">
        <f>+D95+E95</f>
        <v>329303650</v>
      </c>
      <c r="G95" s="80">
        <f>+peb!I95</f>
        <v>22216900</v>
      </c>
      <c r="H95" s="79">
        <v>0</v>
      </c>
      <c r="I95" s="15">
        <f>+G95+H95</f>
        <v>22216900</v>
      </c>
      <c r="J95" s="143">
        <f>+I95/F95</f>
        <v>6.7466303516526466E-2</v>
      </c>
      <c r="K95" s="80">
        <f>+peb!M95</f>
        <v>15949950</v>
      </c>
      <c r="L95" s="80">
        <v>2700000</v>
      </c>
      <c r="M95" s="80">
        <f>+K95+L95</f>
        <v>18649950</v>
      </c>
      <c r="N95" s="171">
        <f>+M95/F95</f>
        <v>5.6634507391582205E-2</v>
      </c>
      <c r="O95" s="15">
        <f>+F95-M95</f>
        <v>310653700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25.5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22216900</v>
      </c>
      <c r="H96" s="10">
        <f t="shared" si="48"/>
        <v>0</v>
      </c>
      <c r="I96" s="180">
        <f>+G96+H96</f>
        <v>22216900</v>
      </c>
      <c r="J96" s="168">
        <f>+I96/F96</f>
        <v>1.0061155863412118E-2</v>
      </c>
      <c r="K96" s="10">
        <f t="shared" ref="K96:L96" si="49">+K95</f>
        <v>15949950</v>
      </c>
      <c r="L96" s="10">
        <f t="shared" si="49"/>
        <v>2700000</v>
      </c>
      <c r="M96" s="180">
        <f>+K96+L96</f>
        <v>18649950</v>
      </c>
      <c r="N96" s="169">
        <f>+M96/F96</f>
        <v>8.445825195902347E-3</v>
      </c>
      <c r="O96" s="10">
        <f>+F96-M96</f>
        <v>2189535700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3.5" customHeight="1" x14ac:dyDescent="0.2">
      <c r="A98" s="388"/>
      <c r="B98" s="388"/>
      <c r="C98" s="395" t="s">
        <v>356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364">
        <f t="shared" si="50"/>
        <v>54241200</v>
      </c>
      <c r="H98" s="364">
        <f t="shared" si="50"/>
        <v>109741950</v>
      </c>
      <c r="I98" s="364">
        <f t="shared" si="50"/>
        <v>163983150</v>
      </c>
      <c r="J98" s="398">
        <f>+I98/F98</f>
        <v>7.4261487026690901E-2</v>
      </c>
      <c r="K98" s="364">
        <f t="shared" ref="K98:L98" si="51">+K83+K93</f>
        <v>40741950</v>
      </c>
      <c r="L98" s="364">
        <f t="shared" si="51"/>
        <v>107943000</v>
      </c>
      <c r="M98" s="364">
        <f>+K98+L98</f>
        <v>148684950</v>
      </c>
      <c r="N98" s="366">
        <f>+M98/F98</f>
        <v>6.7333536924307061E-2</v>
      </c>
      <c r="O98" s="364">
        <f>+F98-M98</f>
        <v>2059500700</v>
      </c>
      <c r="P98" s="77"/>
      <c r="Q98" s="6" t="str">
        <f t="shared" ref="Q98:Q101" si="52">IF(M98&lt;=I98,"OKE","Salah")</f>
        <v>OKE</v>
      </c>
      <c r="R98" s="6"/>
    </row>
    <row r="99" spans="1:23" ht="12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0</v>
      </c>
      <c r="H103" s="10">
        <f t="shared" si="54"/>
        <v>30892980</v>
      </c>
      <c r="I103" s="10">
        <f>+G103+H103</f>
        <v>30892980</v>
      </c>
      <c r="J103" s="168">
        <f>+I103/F103</f>
        <v>1.2752465902828154E-2</v>
      </c>
      <c r="K103" s="10">
        <f t="shared" ref="K103:L103" si="55">+K113</f>
        <v>0</v>
      </c>
      <c r="L103" s="10">
        <f t="shared" si="55"/>
        <v>29119348</v>
      </c>
      <c r="M103" s="10">
        <f>+K103+L103</f>
        <v>29119348</v>
      </c>
      <c r="N103" s="169">
        <f>+M103/D103</f>
        <v>1.2020319583367715E-2</v>
      </c>
      <c r="O103" s="10">
        <f>+F103-M103</f>
        <v>2393390952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326">
        <f>+D107+D109+D111</f>
        <v>2422510300</v>
      </c>
      <c r="E105" s="329"/>
      <c r="F105" s="326">
        <f>+D105+E105</f>
        <v>2422510300</v>
      </c>
      <c r="G105" s="80">
        <f>+peb!I105</f>
        <v>0</v>
      </c>
      <c r="H105" s="79">
        <f>SUM(H107:H111)</f>
        <v>30892980</v>
      </c>
      <c r="I105" s="15">
        <f>+G105+H105</f>
        <v>30892980</v>
      </c>
      <c r="J105" s="143">
        <f>+I105/F105</f>
        <v>1.2752465902828154E-2</v>
      </c>
      <c r="K105" s="80">
        <f>+peb!M105</f>
        <v>0</v>
      </c>
      <c r="L105" s="80">
        <f>SUM(L107:L111)</f>
        <v>29119348</v>
      </c>
      <c r="M105" s="80">
        <f>+K105+L105</f>
        <v>29119348</v>
      </c>
      <c r="N105" s="171">
        <f>+M105/F105</f>
        <v>1.2020319583367715E-2</v>
      </c>
      <c r="O105" s="15">
        <f>+F105-M105</f>
        <v>2393390952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4.1" customHeight="1" x14ac:dyDescent="0.2">
      <c r="A106" s="74"/>
      <c r="B106" s="75"/>
      <c r="C106" s="27"/>
      <c r="D106" s="326"/>
      <c r="E106" s="329"/>
      <c r="F106" s="326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326">
        <v>2263739200</v>
      </c>
      <c r="E107" s="329"/>
      <c r="F107" s="326">
        <f>+D107+E107</f>
        <v>2263739200</v>
      </c>
      <c r="G107" s="80">
        <f>+peb!I107</f>
        <v>0</v>
      </c>
      <c r="H107" s="79">
        <v>9954030</v>
      </c>
      <c r="I107" s="15">
        <f>+G107+H107</f>
        <v>9954030</v>
      </c>
      <c r="J107" s="143">
        <f>+I107/F107</f>
        <v>4.3971628887285253E-3</v>
      </c>
      <c r="K107" s="80">
        <f>+peb!M107</f>
        <v>0</v>
      </c>
      <c r="L107" s="80">
        <v>9928348</v>
      </c>
      <c r="M107" s="80">
        <f>+K107+L107</f>
        <v>9928348</v>
      </c>
      <c r="N107" s="171">
        <f>+M107/F107</f>
        <v>4.3858179422788636E-3</v>
      </c>
      <c r="O107" s="15">
        <f>+F107-M107</f>
        <v>2253810852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4.1" customHeight="1" x14ac:dyDescent="0.2">
      <c r="A108" s="74"/>
      <c r="B108" s="75"/>
      <c r="C108" s="27"/>
      <c r="D108" s="326"/>
      <c r="E108" s="329"/>
      <c r="F108" s="326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326">
        <v>81567100</v>
      </c>
      <c r="E109" s="329"/>
      <c r="F109" s="326">
        <f>+D109+E109</f>
        <v>81567100</v>
      </c>
      <c r="G109" s="80">
        <f>+peb!I109</f>
        <v>0</v>
      </c>
      <c r="H109" s="79">
        <v>19191000</v>
      </c>
      <c r="I109" s="15">
        <f>+G109+H109</f>
        <v>19191000</v>
      </c>
      <c r="J109" s="143">
        <f>+I109/F109</f>
        <v>0.23527868466575372</v>
      </c>
      <c r="K109" s="80">
        <f>+peb!M109</f>
        <v>0</v>
      </c>
      <c r="L109" s="80">
        <v>19191000</v>
      </c>
      <c r="M109" s="80">
        <f>+K109+L109</f>
        <v>19191000</v>
      </c>
      <c r="N109" s="171">
        <f>+M109/F109</f>
        <v>0.23527868466575372</v>
      </c>
      <c r="O109" s="15">
        <f>+F109-M109</f>
        <v>62376100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4.1" customHeight="1" x14ac:dyDescent="0.2">
      <c r="A110" s="74"/>
      <c r="B110" s="75"/>
      <c r="C110" s="27"/>
      <c r="D110" s="326"/>
      <c r="E110" s="329"/>
      <c r="F110" s="326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4.1" customHeight="1" x14ac:dyDescent="0.2">
      <c r="A111" s="74">
        <v>3</v>
      </c>
      <c r="B111" s="75" t="s">
        <v>257</v>
      </c>
      <c r="C111" s="27" t="s">
        <v>259</v>
      </c>
      <c r="D111" s="326">
        <v>77204000</v>
      </c>
      <c r="E111" s="329"/>
      <c r="F111" s="326">
        <f>+D111+E111</f>
        <v>77204000</v>
      </c>
      <c r="G111" s="80">
        <f>+peb!I111</f>
        <v>0</v>
      </c>
      <c r="H111" s="79">
        <v>1747950</v>
      </c>
      <c r="I111" s="15">
        <f>+G111+H111</f>
        <v>1747950</v>
      </c>
      <c r="J111" s="143">
        <f>+I111/F111</f>
        <v>2.2640666286720894E-2</v>
      </c>
      <c r="K111" s="80">
        <f>+peb!M111</f>
        <v>0</v>
      </c>
      <c r="L111" s="80"/>
      <c r="M111" s="80">
        <f>+K111+L111</f>
        <v>0</v>
      </c>
      <c r="N111" s="171">
        <f>+M111/F111</f>
        <v>0</v>
      </c>
      <c r="O111" s="15">
        <f>+F111-M111</f>
        <v>77204000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ht="12" customHeight="1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0</v>
      </c>
      <c r="H113" s="364">
        <f>SUM(H107:H111)</f>
        <v>30892980</v>
      </c>
      <c r="I113" s="364">
        <f>+G113+H113</f>
        <v>30892980</v>
      </c>
      <c r="J113" s="398">
        <f>+I113/F113</f>
        <v>1.2752465902828154E-2</v>
      </c>
      <c r="K113" s="364">
        <f>SUM(K107:K111)</f>
        <v>0</v>
      </c>
      <c r="L113" s="364">
        <f>SUM(L107:L111)</f>
        <v>29119348</v>
      </c>
      <c r="M113" s="364">
        <f>+K113+L113</f>
        <v>29119348</v>
      </c>
      <c r="N113" s="366">
        <f>+M113/F113</f>
        <v>1.2020319583367715E-2</v>
      </c>
      <c r="O113" s="364">
        <f>+F113-M113</f>
        <v>2393390952</v>
      </c>
      <c r="P113" s="77"/>
      <c r="Q113" s="6" t="str">
        <f t="shared" ref="Q113:Q114" si="60">IF(M113&lt;=I113,"OKE","Salah")</f>
        <v>OKE</v>
      </c>
      <c r="R113" s="6"/>
    </row>
    <row r="114" spans="1:18" ht="10.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15" customHeight="1" x14ac:dyDescent="0.2">
      <c r="A116" s="74"/>
      <c r="B116" s="76"/>
      <c r="C116" s="336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4.1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54893500</v>
      </c>
      <c r="H118" s="10">
        <f t="shared" si="63"/>
        <v>96923500</v>
      </c>
      <c r="I118" s="10">
        <f>+G118+H118</f>
        <v>151817000</v>
      </c>
      <c r="J118" s="168">
        <f>+I118/F118</f>
        <v>0.13584527684950126</v>
      </c>
      <c r="K118" s="10">
        <f t="shared" ref="K118:L118" si="64">+K126</f>
        <v>53070000</v>
      </c>
      <c r="L118" s="10">
        <f t="shared" si="64"/>
        <v>98496500</v>
      </c>
      <c r="M118" s="10">
        <f>+K118+L118</f>
        <v>151566500</v>
      </c>
      <c r="N118" s="169">
        <f>+M118/D118</f>
        <v>0.13562113039784698</v>
      </c>
      <c r="O118" s="10">
        <f>+F118-M118</f>
        <v>966006400</v>
      </c>
      <c r="P118" s="77"/>
      <c r="Q118" s="6" t="str">
        <f t="shared" ref="Q118:Q150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326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326">
        <v>705893400</v>
      </c>
      <c r="E120" s="329"/>
      <c r="F120" s="326">
        <f>+D120+E120</f>
        <v>705893400</v>
      </c>
      <c r="G120" s="80">
        <f>+peb!I120</f>
        <v>41490000</v>
      </c>
      <c r="H120" s="79">
        <f>12677600+35700000+13783900+854500+1750000</f>
        <v>64766000</v>
      </c>
      <c r="I120" s="80">
        <f t="shared" ref="I120" si="66">H120+G120</f>
        <v>106256000</v>
      </c>
      <c r="J120" s="143">
        <f>+I120/F120</f>
        <v>0.15052697758613412</v>
      </c>
      <c r="K120" s="80">
        <f>+peb!M120</f>
        <v>40240000</v>
      </c>
      <c r="L120" s="80">
        <f>12677600+35700000+13783900+854500+2750000</f>
        <v>65766000</v>
      </c>
      <c r="M120" s="80">
        <f t="shared" ref="M120" si="67">K120+L120</f>
        <v>106006000</v>
      </c>
      <c r="N120" s="171">
        <f>+M120/D120</f>
        <v>0.15017281646208905</v>
      </c>
      <c r="O120" s="15">
        <f>+F120-M120</f>
        <v>599887400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326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326">
        <v>153587000</v>
      </c>
      <c r="E122" s="329"/>
      <c r="F122" s="326">
        <f>+D122+E122</f>
        <v>153587000</v>
      </c>
      <c r="G122" s="80">
        <f>+peb!I122</f>
        <v>0</v>
      </c>
      <c r="H122" s="79">
        <f>3952500+4288500+3600000</f>
        <v>11841000</v>
      </c>
      <c r="I122" s="15">
        <f>+G122+H122</f>
        <v>11841000</v>
      </c>
      <c r="J122" s="143">
        <f>+I122/F122</f>
        <v>7.7096368833299692E-2</v>
      </c>
      <c r="K122" s="80">
        <f>+peb!M122</f>
        <v>0</v>
      </c>
      <c r="L122" s="80">
        <f>3952500+4288500+3600000</f>
        <v>11841000</v>
      </c>
      <c r="M122" s="80">
        <f>+K122+L122</f>
        <v>11841000</v>
      </c>
      <c r="N122" s="171">
        <f>+M122/D122</f>
        <v>7.7096368833299692E-2</v>
      </c>
      <c r="O122" s="15">
        <f>+F122-M122</f>
        <v>141746000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326">
        <v>258092500</v>
      </c>
      <c r="E124" s="329"/>
      <c r="F124" s="329">
        <f>+D124+E124</f>
        <v>258092500</v>
      </c>
      <c r="G124" s="80">
        <f>+peb!I124</f>
        <v>13403500</v>
      </c>
      <c r="H124" s="79">
        <f>2946500+17370000</f>
        <v>20316500</v>
      </c>
      <c r="I124" s="15">
        <f>+G124+H124</f>
        <v>33720000</v>
      </c>
      <c r="J124" s="143">
        <f>+I124/F124</f>
        <v>0.13065083255034532</v>
      </c>
      <c r="K124" s="80">
        <f>+peb!M124</f>
        <v>12830000</v>
      </c>
      <c r="L124" s="80">
        <f>2946500+17943000</f>
        <v>20889500</v>
      </c>
      <c r="M124" s="80">
        <f>+K124+L124</f>
        <v>33719500</v>
      </c>
      <c r="N124" s="171">
        <f>+M124/D124</f>
        <v>0.1306488952604202</v>
      </c>
      <c r="O124" s="15">
        <f>+F124-M124</f>
        <v>224373000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00" t="s">
        <v>363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54893500</v>
      </c>
      <c r="H126" s="364">
        <f>SUM(H120:H124)</f>
        <v>96923500</v>
      </c>
      <c r="I126" s="364">
        <f>+G126+H126</f>
        <v>151817000</v>
      </c>
      <c r="J126" s="368">
        <f>+I126/F126</f>
        <v>0.13584527684950126</v>
      </c>
      <c r="K126" s="364">
        <f>SUM(K120:K124)</f>
        <v>53070000</v>
      </c>
      <c r="L126" s="364">
        <f>SUM(L120:L124)</f>
        <v>98496500</v>
      </c>
      <c r="M126" s="364">
        <f>+K126+L126</f>
        <v>151566500</v>
      </c>
      <c r="N126" s="366">
        <v>0</v>
      </c>
      <c r="O126" s="364">
        <f>+F126-M126</f>
        <v>966006400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01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8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23.25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312">
        <f>+G133+G140+G148+G154+G162+G169</f>
        <v>1434268818</v>
      </c>
      <c r="H131" s="10">
        <f>+H133+H140+H148+H154+H162+H169</f>
        <v>2581881282</v>
      </c>
      <c r="I131" s="10">
        <f>+G131+H131</f>
        <v>4016150100</v>
      </c>
      <c r="J131" s="168">
        <f>+I131/F131</f>
        <v>0.15451102869280972</v>
      </c>
      <c r="K131" s="312">
        <f>+K133+K140+K148+K154+K162+K169</f>
        <v>1433056118</v>
      </c>
      <c r="L131" s="10">
        <f>+L133+L140+L148+L154+L162+L169</f>
        <v>2581789282</v>
      </c>
      <c r="M131" s="10">
        <f>+K131+L131</f>
        <v>4014845400</v>
      </c>
      <c r="N131" s="169">
        <f>+M131/F131</f>
        <v>0.15446083372147748</v>
      </c>
      <c r="O131" s="10">
        <f>+F131-M131</f>
        <v>21977798193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324">
        <f>+D135+D137</f>
        <v>26024500</v>
      </c>
      <c r="E133" s="324">
        <f t="shared" ref="E133:H133" si="72">+E135+E137</f>
        <v>0</v>
      </c>
      <c r="F133" s="324">
        <f t="shared" si="72"/>
        <v>26024500</v>
      </c>
      <c r="G133" s="324">
        <f t="shared" si="72"/>
        <v>2940000</v>
      </c>
      <c r="H133" s="324">
        <f t="shared" si="72"/>
        <v>0</v>
      </c>
      <c r="I133" s="10">
        <f>+G133+H133</f>
        <v>2940000</v>
      </c>
      <c r="J133" s="168">
        <f>+I133/F133</f>
        <v>0.11297047013391227</v>
      </c>
      <c r="K133" s="324">
        <f t="shared" ref="K133:L133" si="73">+K135+K137</f>
        <v>2940000</v>
      </c>
      <c r="L133" s="324">
        <f t="shared" si="73"/>
        <v>0</v>
      </c>
      <c r="M133" s="180">
        <f>+K133+L133</f>
        <v>2940000</v>
      </c>
      <c r="N133" s="169">
        <f>+M133/F133</f>
        <v>0.11297047013391227</v>
      </c>
      <c r="O133" s="10">
        <f>+F133-M133</f>
        <v>23084500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326">
        <v>11962500</v>
      </c>
      <c r="E135" s="329"/>
      <c r="F135" s="326">
        <f>E135+D135</f>
        <v>11962500</v>
      </c>
      <c r="G135" s="80">
        <f>+peb!I135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+peb!M135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326">
        <v>14062000</v>
      </c>
      <c r="E137" s="329"/>
      <c r="F137" s="326">
        <f>E137+D137</f>
        <v>14062000</v>
      </c>
      <c r="G137" s="80">
        <f>+peb!I137</f>
        <v>0</v>
      </c>
      <c r="H137" s="79">
        <v>0</v>
      </c>
      <c r="I137" s="15">
        <f>+G137+H137</f>
        <v>0</v>
      </c>
      <c r="J137" s="143">
        <f>+I137/F137</f>
        <v>0</v>
      </c>
      <c r="K137" s="80">
        <f>+peb!M137</f>
        <v>0</v>
      </c>
      <c r="L137" s="80">
        <v>0</v>
      </c>
      <c r="M137" s="80">
        <f>+K137+L137</f>
        <v>0</v>
      </c>
      <c r="N137" s="171">
        <f>+M137/F137</f>
        <v>0</v>
      </c>
      <c r="O137" s="15">
        <f>+F137-M137</f>
        <v>14062000</v>
      </c>
      <c r="P137" s="77"/>
      <c r="Q137" s="6" t="str">
        <f t="shared" ref="Q137" si="76">IF(M137&lt;=I137,"OKE","Salah")</f>
        <v>OKE</v>
      </c>
      <c r="R137" s="6"/>
    </row>
    <row r="138" spans="1:23" ht="15" customHeight="1" x14ac:dyDescent="0.2">
      <c r="A138" s="74"/>
      <c r="B138" s="75"/>
      <c r="C138" s="83"/>
      <c r="D138" s="326"/>
      <c r="E138" s="329"/>
      <c r="F138" s="326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2940000</v>
      </c>
      <c r="H139" s="141">
        <f>+H135+H137</f>
        <v>0</v>
      </c>
      <c r="I139" s="141">
        <f>+G139+H139</f>
        <v>2940000</v>
      </c>
      <c r="J139" s="233">
        <f>+I139/F139</f>
        <v>0.11297047013391227</v>
      </c>
      <c r="K139" s="141">
        <f>+K135+K137</f>
        <v>2940000</v>
      </c>
      <c r="L139" s="141">
        <f>+L135+L137</f>
        <v>0</v>
      </c>
      <c r="M139" s="232">
        <f>+K139+L139</f>
        <v>2940000</v>
      </c>
      <c r="N139" s="247">
        <f>+M139/F139</f>
        <v>0.11297047013391227</v>
      </c>
      <c r="O139" s="141"/>
      <c r="P139" s="83"/>
      <c r="Q139" s="6"/>
      <c r="R139" s="6"/>
    </row>
    <row r="140" spans="1:23" ht="30" customHeight="1" x14ac:dyDescent="0.2">
      <c r="A140" s="74"/>
      <c r="B140" s="214" t="s">
        <v>193</v>
      </c>
      <c r="C140" s="208" t="s">
        <v>192</v>
      </c>
      <c r="D140" s="324">
        <f>SUM(D142:D146)</f>
        <v>23869143864</v>
      </c>
      <c r="E140" s="324">
        <f>+E142+E144+E146</f>
        <v>0</v>
      </c>
      <c r="F140" s="324">
        <f>+F142+F144+F146</f>
        <v>23869143864</v>
      </c>
      <c r="G140" s="337">
        <f t="shared" ref="G140:H140" si="77">SUM(G142:G146)</f>
        <v>1324437835</v>
      </c>
      <c r="H140" s="324">
        <f t="shared" si="77"/>
        <v>2475993315</v>
      </c>
      <c r="I140" s="10">
        <f>+G140+H140</f>
        <v>3800431150</v>
      </c>
      <c r="J140" s="168">
        <f>+I140/F140</f>
        <v>0.15921941614889251</v>
      </c>
      <c r="K140" s="337">
        <f t="shared" ref="K140:L140" si="78">SUM(K142:K146)</f>
        <v>1323225135</v>
      </c>
      <c r="L140" s="324">
        <f t="shared" si="78"/>
        <v>2475901315</v>
      </c>
      <c r="M140" s="180">
        <f>+K140+L140</f>
        <v>3799126450</v>
      </c>
      <c r="N140" s="169">
        <f>+M140/D140</f>
        <v>0.15916475562116542</v>
      </c>
      <c r="O140" s="10">
        <f>+F140-M140</f>
        <v>20070017414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326">
        <v>23812113864</v>
      </c>
      <c r="E142" s="329"/>
      <c r="F142" s="326">
        <f>E142+D142</f>
        <v>23812113864</v>
      </c>
      <c r="G142" s="315">
        <f>+peb!I142</f>
        <v>1323225135</v>
      </c>
      <c r="H142" s="79">
        <f>698407940+18029678+12754936+838971433+889379328+7770000+7740000</f>
        <v>2473053315</v>
      </c>
      <c r="I142" s="15">
        <f>+G142+H142</f>
        <v>3796278450</v>
      </c>
      <c r="J142" s="143">
        <f>+I142/F142</f>
        <v>0.15942635213664708</v>
      </c>
      <c r="K142" s="315">
        <f>+peb!M142</f>
        <v>1323225135</v>
      </c>
      <c r="L142" s="80">
        <f>698407940+18029678+12754936+838971433+889379328+7770000+7740000</f>
        <v>2473053315</v>
      </c>
      <c r="M142" s="80">
        <f>+K142+L142</f>
        <v>3796278450</v>
      </c>
      <c r="N142" s="171">
        <f>+M142/D142</f>
        <v>0.15942635213664708</v>
      </c>
      <c r="O142" s="15">
        <f>+F142-M142</f>
        <v>20015835414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326">
        <v>44450000</v>
      </c>
      <c r="E144" s="329"/>
      <c r="F144" s="326">
        <f>E144+D144</f>
        <v>44450000</v>
      </c>
      <c r="G144" s="80">
        <v>712700</v>
      </c>
      <c r="H144" s="79">
        <v>2138100</v>
      </c>
      <c r="I144" s="15">
        <f>+G144+H144</f>
        <v>2850800</v>
      </c>
      <c r="J144" s="143">
        <f>+I144/F144</f>
        <v>6.4134983127109108E-2</v>
      </c>
      <c r="K144" s="80">
        <f>+peb!M144</f>
        <v>0</v>
      </c>
      <c r="L144" s="80">
        <v>2348000</v>
      </c>
      <c r="M144" s="80">
        <f>+K144+L144</f>
        <v>2348000</v>
      </c>
      <c r="N144" s="171">
        <f>+M144/D144</f>
        <v>5.2823397075365576E-2</v>
      </c>
      <c r="O144" s="15">
        <f>+F144-M144</f>
        <v>42102000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0" customHeight="1" x14ac:dyDescent="0.2">
      <c r="A146" s="74">
        <v>5</v>
      </c>
      <c r="B146" s="228" t="s">
        <v>197</v>
      </c>
      <c r="C146" s="273" t="s">
        <v>196</v>
      </c>
      <c r="D146" s="338">
        <v>12580000</v>
      </c>
      <c r="E146" s="329"/>
      <c r="F146" s="326">
        <f>E146+D146</f>
        <v>12580000</v>
      </c>
      <c r="G146" s="80">
        <v>500000</v>
      </c>
      <c r="H146" s="79">
        <v>801900</v>
      </c>
      <c r="I146" s="15">
        <f>+G146+H146</f>
        <v>1301900</v>
      </c>
      <c r="J146" s="143">
        <f>+I146/F146</f>
        <v>0.10348966613672496</v>
      </c>
      <c r="K146" s="80">
        <f>+peb!M146</f>
        <v>0</v>
      </c>
      <c r="L146" s="80">
        <v>500000</v>
      </c>
      <c r="M146" s="80">
        <f>+K146+L146</f>
        <v>500000</v>
      </c>
      <c r="N146" s="171">
        <f>+M146/D146</f>
        <v>3.9745627980922099E-2</v>
      </c>
      <c r="O146" s="15">
        <f>+F146-M146</f>
        <v>12080000</v>
      </c>
      <c r="P146" s="83"/>
      <c r="Q146" s="6" t="str">
        <f t="shared" ref="Q146" si="80">IF(M146&lt;=I146,"OKE","Salah")</f>
        <v>OKE</v>
      </c>
      <c r="R146" s="6"/>
    </row>
    <row r="147" spans="1:19" ht="27.75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1324437835</v>
      </c>
      <c r="H147" s="141">
        <f>SUM(H142:H146)</f>
        <v>2475993315</v>
      </c>
      <c r="I147" s="141">
        <f>+G147+H147</f>
        <v>3800431150</v>
      </c>
      <c r="J147" s="247"/>
      <c r="K147" s="313">
        <f>SUM(K142:K146)</f>
        <v>1323225135</v>
      </c>
      <c r="L147" s="141">
        <f>SUM(L142:L146)</f>
        <v>2475901315</v>
      </c>
      <c r="M147" s="232">
        <f>+K147+L147</f>
        <v>3799126450</v>
      </c>
      <c r="N147" s="173">
        <f>+M147/D147</f>
        <v>0.15916475562116542</v>
      </c>
      <c r="O147" s="141">
        <f>+F147-M147</f>
        <v>20070017414</v>
      </c>
      <c r="P147" s="83"/>
      <c r="Q147" s="6"/>
      <c r="R147" s="6"/>
    </row>
    <row r="148" spans="1:19" ht="22.5" customHeight="1" x14ac:dyDescent="0.2">
      <c r="A148" s="74"/>
      <c r="B148" s="214" t="s">
        <v>199</v>
      </c>
      <c r="C148" s="208" t="s">
        <v>198</v>
      </c>
      <c r="D148" s="324">
        <f>+D150</f>
        <v>144000000</v>
      </c>
      <c r="E148" s="329"/>
      <c r="F148" s="339">
        <f>E148+D148</f>
        <v>144000000</v>
      </c>
      <c r="G148" s="324">
        <f>+G150</f>
        <v>0</v>
      </c>
      <c r="H148" s="324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2">IF(M148&lt;=I148,"OKE","Salah")</f>
        <v>OKE</v>
      </c>
      <c r="R148" s="6"/>
    </row>
    <row r="149" spans="1:19" ht="12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326">
        <v>144000000</v>
      </c>
      <c r="E150" s="329"/>
      <c r="F150" s="326">
        <f>E150+D150</f>
        <v>144000000</v>
      </c>
      <c r="G150" s="80">
        <f>+peb!I150</f>
        <v>0</v>
      </c>
      <c r="H150" s="79">
        <v>0</v>
      </c>
      <c r="I150" s="15">
        <f>+G150+H150</f>
        <v>0</v>
      </c>
      <c r="J150" s="143">
        <f>+I150/F150</f>
        <v>0</v>
      </c>
      <c r="K150" s="80">
        <f>+peb!M150</f>
        <v>0</v>
      </c>
      <c r="L150" s="80"/>
      <c r="M150" s="80">
        <f>+K150+L150</f>
        <v>0</v>
      </c>
      <c r="N150" s="171">
        <f>+M150/D150</f>
        <v>0</v>
      </c>
      <c r="O150" s="15">
        <f t="shared" ref="O150" si="83">+D150-M150</f>
        <v>144000000</v>
      </c>
      <c r="P150" s="83"/>
      <c r="Q150" s="6" t="str">
        <f t="shared" si="65"/>
        <v>OKE</v>
      </c>
      <c r="R150" s="6"/>
    </row>
    <row r="151" spans="1:19" ht="9.75" customHeight="1" x14ac:dyDescent="0.2">
      <c r="A151" s="74"/>
      <c r="B151" s="29"/>
      <c r="C151" s="27"/>
      <c r="D151" s="326"/>
      <c r="E151" s="329"/>
      <c r="F151" s="326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327">
        <f>+D150</f>
        <v>144000000</v>
      </c>
      <c r="E152" s="328"/>
      <c r="F152" s="327">
        <f>+F150</f>
        <v>144000000</v>
      </c>
      <c r="G152" s="327">
        <f>+G150</f>
        <v>0</v>
      </c>
      <c r="H152" s="327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324"/>
      <c r="E153" s="325"/>
      <c r="F153" s="324"/>
      <c r="G153" s="324"/>
      <c r="H153" s="324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324">
        <f>+D156+D158</f>
        <v>155412000</v>
      </c>
      <c r="E154" s="325"/>
      <c r="F154" s="324">
        <f>D154</f>
        <v>155412000</v>
      </c>
      <c r="G154" s="324">
        <f t="shared" ref="G154:H154" si="84">+G156+G158</f>
        <v>0</v>
      </c>
      <c r="H154" s="324">
        <f t="shared" si="84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5">IF(M154&lt;=I154,"OKE","Salah")</f>
        <v>OKE</v>
      </c>
      <c r="R154" s="6"/>
    </row>
    <row r="155" spans="1:19" ht="16.5" customHeight="1" x14ac:dyDescent="0.2">
      <c r="A155" s="74"/>
      <c r="B155" s="29"/>
      <c r="C155" s="27"/>
      <c r="D155" s="326"/>
      <c r="E155" s="329"/>
      <c r="F155" s="326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9.25" customHeight="1" x14ac:dyDescent="0.2">
      <c r="A156" s="205">
        <v>7</v>
      </c>
      <c r="B156" s="220" t="s">
        <v>204</v>
      </c>
      <c r="C156" s="274" t="s">
        <v>205</v>
      </c>
      <c r="D156" s="326">
        <v>0</v>
      </c>
      <c r="E156" s="329"/>
      <c r="F156" s="326">
        <f>D156</f>
        <v>0</v>
      </c>
      <c r="G156" s="80">
        <f>+peb!I156</f>
        <v>0</v>
      </c>
      <c r="H156" s="79"/>
      <c r="I156" s="15">
        <f>+G156+H156</f>
        <v>0</v>
      </c>
      <c r="J156" s="143">
        <v>0</v>
      </c>
      <c r="K156" s="80">
        <f>+peb!M156</f>
        <v>0</v>
      </c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6" si="86">IF(M156&lt;=I156,"OKE","Salah")</f>
        <v>OKE</v>
      </c>
      <c r="R156" s="6"/>
    </row>
    <row r="157" spans="1:19" ht="15.75" customHeight="1" x14ac:dyDescent="0.2">
      <c r="A157" s="74"/>
      <c r="B157" s="95"/>
      <c r="C157" s="27"/>
      <c r="D157" s="326"/>
      <c r="E157" s="329"/>
      <c r="F157" s="326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28.5" customHeight="1" x14ac:dyDescent="0.2">
      <c r="A158" s="74">
        <v>8</v>
      </c>
      <c r="B158" s="95" t="s">
        <v>206</v>
      </c>
      <c r="C158" s="219" t="s">
        <v>207</v>
      </c>
      <c r="D158" s="326">
        <v>155412000</v>
      </c>
      <c r="E158" s="329"/>
      <c r="F158" s="326">
        <f>D158</f>
        <v>155412000</v>
      </c>
      <c r="G158" s="80">
        <f>+peb!I158</f>
        <v>0</v>
      </c>
      <c r="H158" s="79"/>
      <c r="I158" s="15">
        <f>+G158+H158</f>
        <v>0</v>
      </c>
      <c r="J158" s="143">
        <f>+I158/F158</f>
        <v>0</v>
      </c>
      <c r="K158" s="80">
        <f>+peb!M158</f>
        <v>0</v>
      </c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87">IF(M158&lt;=I158,"OKE","Salah")</f>
        <v>OKE</v>
      </c>
      <c r="R158" s="6"/>
    </row>
    <row r="159" spans="1:19" ht="19.5" customHeight="1" x14ac:dyDescent="0.2">
      <c r="A159" s="74"/>
      <c r="B159" s="95"/>
      <c r="C159" s="27"/>
      <c r="D159" s="326"/>
      <c r="E159" s="329"/>
      <c r="F159" s="326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28.5" customHeight="1" x14ac:dyDescent="0.2">
      <c r="A160" s="226"/>
      <c r="B160" s="227"/>
      <c r="C160" s="223" t="s">
        <v>171</v>
      </c>
      <c r="D160" s="327">
        <f>+D156+D158</f>
        <v>155412000</v>
      </c>
      <c r="E160" s="327">
        <f t="shared" ref="E160:H160" si="88">+E156+E158</f>
        <v>0</v>
      </c>
      <c r="F160" s="327">
        <f t="shared" si="88"/>
        <v>155412000</v>
      </c>
      <c r="G160" s="327">
        <f t="shared" si="88"/>
        <v>0</v>
      </c>
      <c r="H160" s="327">
        <f t="shared" si="88"/>
        <v>0</v>
      </c>
      <c r="I160" s="141">
        <f>+G160+H160</f>
        <v>0</v>
      </c>
      <c r="J160" s="176">
        <f>+I160/F160</f>
        <v>0</v>
      </c>
      <c r="K160" s="327">
        <f t="shared" ref="K160:L160" si="89">+K156+K158</f>
        <v>0</v>
      </c>
      <c r="L160" s="327">
        <f t="shared" si="89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324"/>
      <c r="E161" s="325"/>
      <c r="F161" s="340"/>
      <c r="G161" s="324"/>
      <c r="H161" s="324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31.5" customHeight="1" x14ac:dyDescent="0.2">
      <c r="A162" s="212"/>
      <c r="B162" s="218"/>
      <c r="C162" s="305" t="s">
        <v>313</v>
      </c>
      <c r="D162" s="324">
        <f>+D164</f>
        <v>1621482000</v>
      </c>
      <c r="E162" s="325"/>
      <c r="F162" s="324">
        <f>+D162+E162</f>
        <v>1621482000</v>
      </c>
      <c r="G162" s="324">
        <f t="shared" ref="G162:H162" si="90">+G164</f>
        <v>106890983</v>
      </c>
      <c r="H162" s="324">
        <f t="shared" si="90"/>
        <v>105887967</v>
      </c>
      <c r="I162" s="10">
        <f>+G162+H162</f>
        <v>212778950</v>
      </c>
      <c r="J162" s="168">
        <f>+I162/F162</f>
        <v>0.13122498430448196</v>
      </c>
      <c r="K162" s="324">
        <f t="shared" ref="K162:L162" si="91">+K164</f>
        <v>106890983</v>
      </c>
      <c r="L162" s="324">
        <f t="shared" si="91"/>
        <v>105887967</v>
      </c>
      <c r="M162" s="180">
        <f>+K162+L162</f>
        <v>212778950</v>
      </c>
      <c r="N162" s="169">
        <f>+M162/D162</f>
        <v>0.13122498430448196</v>
      </c>
      <c r="O162" s="10">
        <f>+F162-M162</f>
        <v>1408703050</v>
      </c>
      <c r="P162" s="208"/>
      <c r="Q162" s="6" t="str">
        <f t="shared" ref="Q162:Q166" si="92">IF(M162&lt;=I162,"OKE","Salah")</f>
        <v>OKE</v>
      </c>
      <c r="R162" s="6"/>
    </row>
    <row r="163" spans="1:18" ht="16.5" customHeight="1" x14ac:dyDescent="0.2">
      <c r="A163" s="212"/>
      <c r="B163" s="218"/>
      <c r="C163" s="25"/>
      <c r="D163" s="324"/>
      <c r="E163" s="325"/>
      <c r="F163" s="324"/>
      <c r="G163" s="324"/>
      <c r="H163" s="324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8" customHeight="1" x14ac:dyDescent="0.2">
      <c r="A164" s="212"/>
      <c r="B164" s="218"/>
      <c r="C164" s="219" t="s">
        <v>314</v>
      </c>
      <c r="D164" s="326">
        <v>1621482000</v>
      </c>
      <c r="E164" s="329"/>
      <c r="F164" s="326">
        <f>D164</f>
        <v>1621482000</v>
      </c>
      <c r="G164" s="80">
        <f>+peb!I164</f>
        <v>106890983</v>
      </c>
      <c r="H164" s="79">
        <f>776455+59553184+4598328+40960000</f>
        <v>105887967</v>
      </c>
      <c r="I164" s="15">
        <f>+G164+H164</f>
        <v>212778950</v>
      </c>
      <c r="J164" s="143">
        <f>+I164/F164</f>
        <v>0.13122498430448196</v>
      </c>
      <c r="K164" s="80">
        <f>+peb!M164</f>
        <v>106890983</v>
      </c>
      <c r="L164" s="80">
        <f>776455+59553184+4598328+40960000</f>
        <v>105887967</v>
      </c>
      <c r="M164" s="80">
        <f>+K164+L164</f>
        <v>212778950</v>
      </c>
      <c r="N164" s="171">
        <f>+M164/D164</f>
        <v>0.13122498430448196</v>
      </c>
      <c r="O164" s="15">
        <f>+F164-M164</f>
        <v>1408703050</v>
      </c>
      <c r="P164" s="83"/>
      <c r="Q164" s="6" t="str">
        <f t="shared" si="92"/>
        <v>OKE</v>
      </c>
      <c r="R164" s="6"/>
    </row>
    <row r="165" spans="1:18" ht="14.1" customHeight="1" x14ac:dyDescent="0.2">
      <c r="A165" s="212"/>
      <c r="B165" s="218"/>
      <c r="C165" s="25"/>
      <c r="D165" s="324"/>
      <c r="E165" s="325"/>
      <c r="F165" s="324"/>
      <c r="G165" s="324"/>
      <c r="H165" s="324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20.25" customHeight="1" x14ac:dyDescent="0.2">
      <c r="A166" s="226"/>
      <c r="B166" s="227"/>
      <c r="C166" s="223" t="s">
        <v>171</v>
      </c>
      <c r="D166" s="327">
        <f>+D164</f>
        <v>1621482000</v>
      </c>
      <c r="E166" s="327">
        <f t="shared" ref="E166:F166" si="93">+E164</f>
        <v>0</v>
      </c>
      <c r="F166" s="327">
        <f t="shared" si="93"/>
        <v>1621482000</v>
      </c>
      <c r="G166" s="327">
        <f>+G164</f>
        <v>106890983</v>
      </c>
      <c r="H166" s="327">
        <f>+H164</f>
        <v>105887967</v>
      </c>
      <c r="I166" s="141">
        <f>+G166+H166</f>
        <v>212778950</v>
      </c>
      <c r="J166" s="176">
        <f>+I166/F166</f>
        <v>0.13122498430448196</v>
      </c>
      <c r="K166" s="327">
        <f t="shared" ref="K166:L166" si="94">+K164</f>
        <v>106890983</v>
      </c>
      <c r="L166" s="327">
        <f t="shared" si="94"/>
        <v>105887967</v>
      </c>
      <c r="M166" s="232">
        <f>+K166+L166</f>
        <v>212778950</v>
      </c>
      <c r="N166" s="173">
        <f>+M166/D166</f>
        <v>0.13122498430448196</v>
      </c>
      <c r="O166" s="141">
        <f>+F166-M166</f>
        <v>1408703050</v>
      </c>
      <c r="P166" s="208"/>
      <c r="Q166" s="6" t="str">
        <f t="shared" si="92"/>
        <v>OKE</v>
      </c>
      <c r="R166" s="6"/>
    </row>
    <row r="167" spans="1:18" ht="14.1" customHeight="1" x14ac:dyDescent="0.2">
      <c r="A167" s="212"/>
      <c r="B167" s="218"/>
      <c r="C167" s="25"/>
      <c r="D167" s="324"/>
      <c r="E167" s="325"/>
      <c r="F167" s="324"/>
      <c r="G167" s="324"/>
      <c r="H167" s="324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8.25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30" customHeight="1" x14ac:dyDescent="0.2">
      <c r="A169" s="74"/>
      <c r="B169" s="214" t="s">
        <v>304</v>
      </c>
      <c r="C169" s="341" t="s">
        <v>277</v>
      </c>
      <c r="D169" s="324">
        <f>+D171</f>
        <v>176581229</v>
      </c>
      <c r="E169" s="329"/>
      <c r="F169" s="326">
        <f>E169+D169</f>
        <v>176581229</v>
      </c>
      <c r="G169" s="324">
        <f>+G171+G174</f>
        <v>0</v>
      </c>
      <c r="H169" s="324">
        <f>+H171+H174</f>
        <v>0</v>
      </c>
      <c r="I169" s="10">
        <f>+G169+H169</f>
        <v>0</v>
      </c>
      <c r="J169" s="168">
        <f>+I169/F169</f>
        <v>0</v>
      </c>
      <c r="K169" s="324">
        <f>+K171+K174</f>
        <v>0</v>
      </c>
      <c r="L169" s="324">
        <f>+L171+L174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95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326">
        <v>176581229</v>
      </c>
      <c r="E171" s="329"/>
      <c r="F171" s="326">
        <f>E171+D171</f>
        <v>176581229</v>
      </c>
      <c r="G171" s="80">
        <f>+peb!I171</f>
        <v>0</v>
      </c>
      <c r="H171" s="79">
        <v>0</v>
      </c>
      <c r="I171" s="15">
        <f>+G171+H171</f>
        <v>0</v>
      </c>
      <c r="J171" s="143">
        <f>+I171/F171</f>
        <v>0</v>
      </c>
      <c r="K171" s="80">
        <f>+peb!M171</f>
        <v>0</v>
      </c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96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326"/>
      <c r="E172" s="329"/>
      <c r="F172" s="326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8.75" customHeight="1" x14ac:dyDescent="0.2">
      <c r="A173" s="139"/>
      <c r="B173" s="222"/>
      <c r="C173" s="223" t="s">
        <v>171</v>
      </c>
      <c r="D173" s="327">
        <f>+D171</f>
        <v>176581229</v>
      </c>
      <c r="E173" s="327">
        <f>+E171</f>
        <v>0</v>
      </c>
      <c r="F173" s="327">
        <f>+F171</f>
        <v>176581229</v>
      </c>
      <c r="G173" s="327">
        <f>+G171</f>
        <v>0</v>
      </c>
      <c r="H173" s="327">
        <f>+H171</f>
        <v>0</v>
      </c>
      <c r="I173" s="141">
        <f>+G173+H173</f>
        <v>0</v>
      </c>
      <c r="J173" s="176">
        <f>+I173/F173</f>
        <v>0</v>
      </c>
      <c r="K173" s="327">
        <f>+K171</f>
        <v>0</v>
      </c>
      <c r="L173" s="327">
        <f>+L171</f>
        <v>0</v>
      </c>
      <c r="M173" s="232">
        <f>+K173+L173</f>
        <v>0</v>
      </c>
      <c r="N173" s="173">
        <f>+M173/D173</f>
        <v>0</v>
      </c>
      <c r="O173" s="141">
        <f>+F173-M173</f>
        <v>176581229</v>
      </c>
      <c r="P173" s="208"/>
      <c r="Q173" s="6" t="str">
        <f t="shared" ref="Q173" si="97">IF(M173&lt;=I173,"OKE","Salah")</f>
        <v>OKE</v>
      </c>
      <c r="R173" s="6"/>
    </row>
    <row r="174" spans="1:18" ht="14.1" customHeight="1" x14ac:dyDescent="0.2">
      <c r="A174" s="81"/>
      <c r="B174" s="81"/>
      <c r="C174" s="251"/>
      <c r="D174" s="32"/>
      <c r="E174" s="32"/>
      <c r="F174" s="32"/>
      <c r="G174" s="252"/>
      <c r="H174" s="253"/>
      <c r="I174" s="252"/>
      <c r="J174" s="254"/>
      <c r="K174" s="252"/>
      <c r="L174" s="251"/>
      <c r="M174" s="251"/>
      <c r="N174" s="86"/>
      <c r="O174" s="76"/>
      <c r="P174" s="83"/>
      <c r="Q174" s="6"/>
      <c r="R174" s="6"/>
    </row>
    <row r="175" spans="1:18" ht="21.75" customHeight="1" x14ac:dyDescent="0.2">
      <c r="A175" s="388"/>
      <c r="B175" s="388"/>
      <c r="C175" s="395" t="s">
        <v>137</v>
      </c>
      <c r="D175" s="364">
        <f>+D139+D147+D152+D160+D166+D173</f>
        <v>25992643593</v>
      </c>
      <c r="E175" s="364">
        <v>0</v>
      </c>
      <c r="F175" s="364">
        <f>+D175+E175</f>
        <v>25992643593</v>
      </c>
      <c r="G175" s="455">
        <f>+G139+G147+G152+G160+G166+G173</f>
        <v>1434268818</v>
      </c>
      <c r="H175" s="364">
        <f>+H139+H147+H152+H160+H166+H173</f>
        <v>2581881282</v>
      </c>
      <c r="I175" s="364">
        <f>+I139+I147+I152+I160+I166+I173</f>
        <v>4016150100</v>
      </c>
      <c r="J175" s="398">
        <f>+I175/F175</f>
        <v>0.15451102869280972</v>
      </c>
      <c r="K175" s="455">
        <f>+K139+K147+K152+K160+K173+K166</f>
        <v>1433056118</v>
      </c>
      <c r="L175" s="364">
        <f>+L139+L147+L152+L160+L166+L173</f>
        <v>2581789282</v>
      </c>
      <c r="M175" s="364">
        <f>+K175+L175</f>
        <v>4014845400</v>
      </c>
      <c r="N175" s="405">
        <f>+M175/F175</f>
        <v>0.15446083372147748</v>
      </c>
      <c r="O175" s="402">
        <f>+F175-M175</f>
        <v>21977798193</v>
      </c>
      <c r="P175" s="83"/>
      <c r="Q175" s="6" t="str">
        <f t="shared" si="86"/>
        <v>OKE</v>
      </c>
      <c r="R175" s="6"/>
    </row>
    <row r="176" spans="1:18" ht="19.5" customHeight="1" x14ac:dyDescent="0.2">
      <c r="A176" s="389"/>
      <c r="B176" s="389"/>
      <c r="C176" s="396"/>
      <c r="D176" s="396"/>
      <c r="E176" s="396"/>
      <c r="F176" s="396"/>
      <c r="G176" s="456"/>
      <c r="H176" s="396"/>
      <c r="I176" s="396"/>
      <c r="J176" s="404"/>
      <c r="K176" s="456"/>
      <c r="L176" s="396"/>
      <c r="M176" s="365"/>
      <c r="N176" s="406"/>
      <c r="O176" s="403"/>
      <c r="P176" s="83"/>
      <c r="Q176" s="6" t="str">
        <f t="shared" si="86"/>
        <v>OKE</v>
      </c>
      <c r="R176" s="6"/>
    </row>
    <row r="177" spans="1:18" ht="15" customHeight="1" x14ac:dyDescent="0.2">
      <c r="A177" s="74"/>
      <c r="B177" s="74"/>
      <c r="C177" s="76"/>
      <c r="D177" s="15"/>
      <c r="E177" s="15"/>
      <c r="F177" s="15"/>
      <c r="G177" s="80"/>
      <c r="H177" s="79"/>
      <c r="I177" s="80"/>
      <c r="J177" s="86"/>
      <c r="K177" s="80"/>
      <c r="L177" s="76"/>
      <c r="M177" s="76"/>
      <c r="N177" s="86"/>
      <c r="O177" s="10"/>
      <c r="P177" s="83"/>
      <c r="Q177" s="6"/>
      <c r="R177" s="6"/>
    </row>
    <row r="178" spans="1:18" ht="26.25" customHeight="1" x14ac:dyDescent="0.2">
      <c r="A178" s="74"/>
      <c r="B178" s="74"/>
      <c r="C178" s="244" t="s">
        <v>70</v>
      </c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26.25" customHeight="1" x14ac:dyDescent="0.2">
      <c r="A179" s="74"/>
      <c r="B179" s="74"/>
      <c r="C179" s="76"/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77"/>
      <c r="Q179" s="6"/>
      <c r="R179" s="6"/>
    </row>
    <row r="180" spans="1:18" ht="24.75" customHeight="1" x14ac:dyDescent="0.2">
      <c r="A180" s="7"/>
      <c r="B180" s="206" t="s">
        <v>154</v>
      </c>
      <c r="C180" s="201" t="s">
        <v>153</v>
      </c>
      <c r="D180" s="10">
        <f>+D182</f>
        <v>1189109400</v>
      </c>
      <c r="E180" s="10">
        <f t="shared" ref="E180:H180" si="98">+E182</f>
        <v>0</v>
      </c>
      <c r="F180" s="10">
        <f t="shared" si="98"/>
        <v>1189109400</v>
      </c>
      <c r="G180" s="10">
        <f t="shared" si="98"/>
        <v>45751500</v>
      </c>
      <c r="H180" s="10">
        <f t="shared" si="98"/>
        <v>45445500</v>
      </c>
      <c r="I180" s="10">
        <f>+G180+H180</f>
        <v>91197000</v>
      </c>
      <c r="J180" s="168">
        <f>+I180/F180</f>
        <v>7.6693532151036733E-2</v>
      </c>
      <c r="K180" s="10">
        <f t="shared" ref="K180:L180" si="99">+K182</f>
        <v>45445500</v>
      </c>
      <c r="L180" s="10">
        <f t="shared" si="99"/>
        <v>45170900</v>
      </c>
      <c r="M180" s="10">
        <f>+K180+L180</f>
        <v>90616400</v>
      </c>
      <c r="N180" s="169">
        <f>+M180/F180</f>
        <v>7.6205267572521079E-2</v>
      </c>
      <c r="O180" s="10">
        <f>+F180-M180</f>
        <v>1098493000</v>
      </c>
      <c r="P180" s="77"/>
      <c r="Q180" s="6" t="str">
        <f t="shared" ref="Q180" si="100">IF(M180&lt;=I180,"OKE","Salah")</f>
        <v>OKE</v>
      </c>
      <c r="R180" s="6"/>
    </row>
    <row r="181" spans="1:18" ht="14.1" customHeight="1" x14ac:dyDescent="0.2">
      <c r="A181" s="74"/>
      <c r="B181" s="74"/>
      <c r="C181" s="76"/>
      <c r="D181" s="15"/>
      <c r="E181" s="15"/>
      <c r="F181" s="15"/>
      <c r="G181" s="80"/>
      <c r="H181" s="79"/>
      <c r="I181" s="80"/>
      <c r="J181" s="86"/>
      <c r="K181" s="80"/>
      <c r="L181" s="76"/>
      <c r="M181" s="76"/>
      <c r="N181" s="86"/>
      <c r="O181" s="10"/>
      <c r="P181" s="77"/>
      <c r="Q181" s="6"/>
      <c r="R181" s="6"/>
    </row>
    <row r="182" spans="1:18" ht="18" customHeight="1" x14ac:dyDescent="0.2">
      <c r="A182" s="74"/>
      <c r="B182" s="95" t="s">
        <v>212</v>
      </c>
      <c r="C182" s="25" t="s">
        <v>213</v>
      </c>
      <c r="D182" s="324">
        <f>SUM(D184:D190)</f>
        <v>1189109400</v>
      </c>
      <c r="E182" s="329"/>
      <c r="F182" s="324">
        <f>E182+D182</f>
        <v>1189109400</v>
      </c>
      <c r="G182" s="324">
        <f>SUM(G184:G190)</f>
        <v>45751500</v>
      </c>
      <c r="H182" s="324">
        <f>SUM(H184:H190)</f>
        <v>45445500</v>
      </c>
      <c r="I182" s="10">
        <f>H182+G182</f>
        <v>91197000</v>
      </c>
      <c r="J182" s="168">
        <f>+I182/F182</f>
        <v>7.6693532151036733E-2</v>
      </c>
      <c r="K182" s="324">
        <f>SUM(K184:K190)</f>
        <v>45445500</v>
      </c>
      <c r="L182" s="324">
        <f>SUM(L184:L190)</f>
        <v>45170900</v>
      </c>
      <c r="M182" s="180">
        <f>+K182+L182</f>
        <v>90616400</v>
      </c>
      <c r="N182" s="169">
        <f>+M182/F182</f>
        <v>7.6205267572521079E-2</v>
      </c>
      <c r="O182" s="10">
        <f>+F182-M182</f>
        <v>1098493000</v>
      </c>
      <c r="P182" s="77"/>
      <c r="Q182" s="6" t="str">
        <f t="shared" ref="Q182" si="101">IF(M182&lt;=I182,"OKE","Salah")</f>
        <v>OKE</v>
      </c>
      <c r="R182" s="6"/>
    </row>
    <row r="183" spans="1:18" ht="15.75" customHeight="1" x14ac:dyDescent="0.2">
      <c r="A183" s="74"/>
      <c r="B183" s="95"/>
      <c r="C183" s="27"/>
      <c r="D183" s="326"/>
      <c r="E183" s="329"/>
      <c r="F183" s="326"/>
      <c r="G183" s="78"/>
      <c r="H183" s="79"/>
      <c r="I183" s="15"/>
      <c r="J183" s="143"/>
      <c r="K183" s="80"/>
      <c r="L183" s="80"/>
      <c r="M183" s="80"/>
      <c r="N183" s="171"/>
      <c r="O183" s="15"/>
      <c r="P183" s="77"/>
      <c r="Q183" s="6"/>
      <c r="R183" s="6"/>
    </row>
    <row r="184" spans="1:18" ht="17.25" customHeight="1" x14ac:dyDescent="0.2">
      <c r="A184" s="74">
        <v>1</v>
      </c>
      <c r="B184" s="95" t="s">
        <v>215</v>
      </c>
      <c r="C184" s="27" t="s">
        <v>214</v>
      </c>
      <c r="D184" s="326">
        <v>206216100</v>
      </c>
      <c r="E184" s="329"/>
      <c r="F184" s="326">
        <f>E184+D184</f>
        <v>206216100</v>
      </c>
      <c r="G184" s="80">
        <f>+peb!I184</f>
        <v>12855500</v>
      </c>
      <c r="H184" s="79">
        <v>12825900</v>
      </c>
      <c r="I184" s="15">
        <f>H184+G184</f>
        <v>25681400</v>
      </c>
      <c r="J184" s="143">
        <f>+I184/F184</f>
        <v>0.12453634803490125</v>
      </c>
      <c r="K184" s="80">
        <f>+peb!M184</f>
        <v>12855500</v>
      </c>
      <c r="L184" s="80">
        <v>12825900</v>
      </c>
      <c r="M184" s="80">
        <f>+K184+L184</f>
        <v>25681400</v>
      </c>
      <c r="N184" s="171">
        <f>+M184/F184</f>
        <v>0.12453634803490125</v>
      </c>
      <c r="O184" s="15">
        <f>+F184-M184</f>
        <v>180534700</v>
      </c>
      <c r="P184" s="77"/>
      <c r="Q184" s="6" t="str">
        <f t="shared" ref="Q184" si="102">IF(M184&lt;=I184,"OKE","Salah")</f>
        <v>OKE</v>
      </c>
      <c r="R184" s="6"/>
    </row>
    <row r="185" spans="1:18" ht="15.75" customHeight="1" x14ac:dyDescent="0.2">
      <c r="A185" s="74"/>
      <c r="B185" s="95"/>
      <c r="C185" s="27"/>
      <c r="D185" s="326"/>
      <c r="E185" s="329"/>
      <c r="F185" s="326"/>
      <c r="G185" s="78"/>
      <c r="H185" s="79"/>
      <c r="I185" s="15"/>
      <c r="J185" s="143"/>
      <c r="K185" s="80"/>
      <c r="L185" s="80"/>
      <c r="M185" s="80"/>
      <c r="N185" s="171"/>
      <c r="O185" s="15"/>
      <c r="P185" s="77"/>
      <c r="Q185" s="6"/>
      <c r="R185" s="6"/>
    </row>
    <row r="186" spans="1:18" ht="17.25" customHeight="1" x14ac:dyDescent="0.2">
      <c r="A186" s="74">
        <v>2</v>
      </c>
      <c r="B186" s="95" t="s">
        <v>217</v>
      </c>
      <c r="C186" s="27" t="s">
        <v>216</v>
      </c>
      <c r="D186" s="326">
        <v>615087000</v>
      </c>
      <c r="E186" s="329"/>
      <c r="F186" s="326">
        <f>E186+D186</f>
        <v>615087000</v>
      </c>
      <c r="G186" s="80">
        <f>+peb!I186</f>
        <v>14465000</v>
      </c>
      <c r="H186" s="79">
        <v>15960600</v>
      </c>
      <c r="I186" s="15">
        <f>H186+G186</f>
        <v>30425600</v>
      </c>
      <c r="J186" s="143">
        <f>+I186/F186</f>
        <v>4.9465522763446471E-2</v>
      </c>
      <c r="K186" s="80">
        <f>+peb!M186</f>
        <v>14455000</v>
      </c>
      <c r="L186" s="80">
        <v>15390000</v>
      </c>
      <c r="M186" s="80">
        <f>+K186+L186</f>
        <v>29845000</v>
      </c>
      <c r="N186" s="171">
        <f>+M186/F186</f>
        <v>4.8521591254570492E-2</v>
      </c>
      <c r="O186" s="15">
        <f>+F186-M186</f>
        <v>585242000</v>
      </c>
      <c r="P186" s="77"/>
      <c r="Q186" s="6" t="str">
        <f t="shared" ref="Q186" si="103">IF(M186&lt;=I186,"OKE","Salah")</f>
        <v>OKE</v>
      </c>
      <c r="R186" s="6"/>
    </row>
    <row r="187" spans="1:18" ht="17.25" customHeight="1" x14ac:dyDescent="0.2">
      <c r="A187" s="74"/>
      <c r="B187" s="95"/>
      <c r="C187" s="27"/>
      <c r="D187" s="326"/>
      <c r="E187" s="329"/>
      <c r="F187" s="326"/>
      <c r="G187" s="78"/>
      <c r="H187" s="79"/>
      <c r="I187" s="15"/>
      <c r="J187" s="143"/>
      <c r="K187" s="80"/>
      <c r="L187" s="80"/>
      <c r="M187" s="80"/>
      <c r="N187" s="171"/>
      <c r="O187" s="15"/>
      <c r="P187" s="77"/>
      <c r="Q187" s="6"/>
      <c r="R187" s="6"/>
    </row>
    <row r="188" spans="1:18" ht="18" customHeight="1" x14ac:dyDescent="0.2">
      <c r="A188" s="74">
        <v>3</v>
      </c>
      <c r="B188" s="95" t="s">
        <v>219</v>
      </c>
      <c r="C188" s="27" t="s">
        <v>218</v>
      </c>
      <c r="D188" s="326">
        <v>257443800</v>
      </c>
      <c r="E188" s="329"/>
      <c r="F188" s="326">
        <f>E188+D188</f>
        <v>257443800</v>
      </c>
      <c r="G188" s="80">
        <f>+peb!I188</f>
        <v>13136000</v>
      </c>
      <c r="H188" s="79">
        <v>9034000</v>
      </c>
      <c r="I188" s="15">
        <f>H188+G188</f>
        <v>22170000</v>
      </c>
      <c r="J188" s="143">
        <f>+I188/F188</f>
        <v>8.6115882378989123E-2</v>
      </c>
      <c r="K188" s="80">
        <f>+peb!M188</f>
        <v>12840000</v>
      </c>
      <c r="L188" s="80">
        <v>9330000</v>
      </c>
      <c r="M188" s="80">
        <f>+K188+L188</f>
        <v>22170000</v>
      </c>
      <c r="N188" s="171">
        <f>+M188/F188</f>
        <v>8.6115882378989123E-2</v>
      </c>
      <c r="O188" s="15">
        <f>+F188-M188</f>
        <v>235273800</v>
      </c>
      <c r="P188" s="77"/>
      <c r="Q188" s="6" t="str">
        <f t="shared" ref="Q188" si="104">IF(M188&lt;=I188,"OKE","Salah")</f>
        <v>OKE</v>
      </c>
      <c r="R188" s="6"/>
    </row>
    <row r="189" spans="1:18" ht="17.25" customHeight="1" x14ac:dyDescent="0.2">
      <c r="A189" s="74"/>
      <c r="B189" s="95"/>
      <c r="C189" s="27"/>
      <c r="D189" s="326"/>
      <c r="E189" s="329"/>
      <c r="F189" s="326"/>
      <c r="G189" s="78"/>
      <c r="H189" s="79"/>
      <c r="I189" s="15"/>
      <c r="J189" s="143"/>
      <c r="K189" s="80"/>
      <c r="L189" s="80"/>
      <c r="M189" s="80"/>
      <c r="N189" s="171"/>
      <c r="O189" s="15"/>
      <c r="P189" s="77"/>
      <c r="Q189" s="6"/>
      <c r="R189" s="6"/>
    </row>
    <row r="190" spans="1:18" ht="32.25" customHeight="1" x14ac:dyDescent="0.2">
      <c r="A190" s="205">
        <v>4</v>
      </c>
      <c r="B190" s="95" t="s">
        <v>221</v>
      </c>
      <c r="C190" s="219" t="s">
        <v>220</v>
      </c>
      <c r="D190" s="338">
        <v>110362500</v>
      </c>
      <c r="E190" s="329"/>
      <c r="F190" s="326">
        <f>E190+D190</f>
        <v>110362500</v>
      </c>
      <c r="G190" s="80">
        <f>+peb!I190</f>
        <v>5295000</v>
      </c>
      <c r="H190" s="79">
        <v>7625000</v>
      </c>
      <c r="I190" s="15">
        <f>H190+G190</f>
        <v>12920000</v>
      </c>
      <c r="J190" s="143">
        <f>+I190/F190</f>
        <v>0.11706875070789444</v>
      </c>
      <c r="K190" s="80">
        <f>+peb!M190</f>
        <v>5295000</v>
      </c>
      <c r="L190" s="80">
        <v>7625000</v>
      </c>
      <c r="M190" s="80">
        <f>+K190+L190</f>
        <v>12920000</v>
      </c>
      <c r="N190" s="171">
        <f>+M190/F190</f>
        <v>0.11706875070789444</v>
      </c>
      <c r="O190" s="15">
        <f>+F190-M190</f>
        <v>97442500</v>
      </c>
      <c r="P190" s="77"/>
      <c r="Q190" s="6" t="str">
        <f t="shared" ref="Q190" si="105">IF(M190&lt;=I190,"OKE","Salah")</f>
        <v>OKE</v>
      </c>
      <c r="R190" s="6"/>
    </row>
    <row r="191" spans="1:18" ht="21.75" customHeight="1" x14ac:dyDescent="0.2">
      <c r="A191" s="139"/>
      <c r="B191" s="139"/>
      <c r="C191" s="140"/>
      <c r="D191" s="142"/>
      <c r="E191" s="142"/>
      <c r="F191" s="142"/>
      <c r="G191" s="188"/>
      <c r="H191" s="246"/>
      <c r="I191" s="188"/>
      <c r="J191" s="247"/>
      <c r="K191" s="188"/>
      <c r="L191" s="245"/>
      <c r="M191" s="245"/>
      <c r="N191" s="247"/>
      <c r="O191" s="141"/>
      <c r="P191" s="77"/>
      <c r="Q191" s="6"/>
      <c r="R191" s="6"/>
    </row>
    <row r="192" spans="1:18" ht="14.1" customHeight="1" x14ac:dyDescent="0.2">
      <c r="A192" s="388"/>
      <c r="B192" s="388"/>
      <c r="C192" s="395" t="s">
        <v>72</v>
      </c>
      <c r="D192" s="364">
        <f>SUM(D184:D190)</f>
        <v>1189109400</v>
      </c>
      <c r="E192" s="364">
        <f>SUM(E184:E190)</f>
        <v>0</v>
      </c>
      <c r="F192" s="364">
        <f>SUM(F184:F190)</f>
        <v>1189109400</v>
      </c>
      <c r="G192" s="364">
        <f>SUM(G184:G190)</f>
        <v>45751500</v>
      </c>
      <c r="H192" s="364">
        <f>SUM(H184:H190)</f>
        <v>45445500</v>
      </c>
      <c r="I192" s="364">
        <f>G192+H192</f>
        <v>91197000</v>
      </c>
      <c r="J192" s="368">
        <f>+I192/F192</f>
        <v>7.6693532151036733E-2</v>
      </c>
      <c r="K192" s="364">
        <f>SUM(K184:K190)</f>
        <v>45445500</v>
      </c>
      <c r="L192" s="364">
        <f>SUM(L184:L190)</f>
        <v>45170900</v>
      </c>
      <c r="M192" s="364">
        <f>+K192+L192</f>
        <v>90616400</v>
      </c>
      <c r="N192" s="366">
        <f>+M192/F192</f>
        <v>7.6205267572521079E-2</v>
      </c>
      <c r="O192" s="364">
        <f>+F192-M192</f>
        <v>1098493000</v>
      </c>
      <c r="P192" s="77"/>
      <c r="Q192" s="6" t="str">
        <f t="shared" ref="Q192:Q227" si="106">IF(M192&lt;=I192,"OKE","Salah")</f>
        <v>OKE</v>
      </c>
      <c r="R192" s="6"/>
    </row>
    <row r="193" spans="1:19" ht="24" customHeight="1" x14ac:dyDescent="0.2">
      <c r="A193" s="389"/>
      <c r="B193" s="389"/>
      <c r="C193" s="396"/>
      <c r="D193" s="365"/>
      <c r="E193" s="365"/>
      <c r="F193" s="365"/>
      <c r="G193" s="365"/>
      <c r="H193" s="365"/>
      <c r="I193" s="396"/>
      <c r="J193" s="369"/>
      <c r="K193" s="365"/>
      <c r="L193" s="365"/>
      <c r="M193" s="365"/>
      <c r="N193" s="367"/>
      <c r="O193" s="365"/>
      <c r="P193" s="77"/>
      <c r="Q193" s="6" t="str">
        <f t="shared" si="106"/>
        <v>OKE</v>
      </c>
      <c r="R193" s="6"/>
    </row>
    <row r="194" spans="1:19" x14ac:dyDescent="0.2">
      <c r="A194" s="74"/>
      <c r="B194" s="76"/>
      <c r="C194" s="76"/>
      <c r="D194" s="8"/>
      <c r="E194" s="8"/>
      <c r="F194" s="8"/>
      <c r="G194" s="76"/>
      <c r="H194" s="82"/>
      <c r="I194" s="76"/>
      <c r="J194" s="86"/>
      <c r="K194" s="76"/>
      <c r="L194" s="76"/>
      <c r="M194" s="76"/>
      <c r="N194" s="248"/>
      <c r="O194" s="241"/>
      <c r="P194" s="77"/>
      <c r="Q194" s="6"/>
      <c r="R194" s="6"/>
    </row>
    <row r="195" spans="1:19" ht="15" customHeight="1" x14ac:dyDescent="0.2">
      <c r="A195" s="74"/>
      <c r="B195" s="76"/>
      <c r="C195" s="244" t="s">
        <v>73</v>
      </c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86"/>
      <c r="O195" s="76"/>
      <c r="P195" s="77"/>
      <c r="Q195" s="6"/>
      <c r="R195" s="6"/>
    </row>
    <row r="196" spans="1:19" ht="14.25" customHeight="1" x14ac:dyDescent="0.2">
      <c r="A196" s="74"/>
      <c r="B196" s="76"/>
      <c r="C196" s="76"/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s="323" customFormat="1" ht="25.5" x14ac:dyDescent="0.2">
      <c r="A197" s="7"/>
      <c r="B197" s="54" t="s">
        <v>154</v>
      </c>
      <c r="C197" s="201" t="s">
        <v>153</v>
      </c>
      <c r="D197" s="10">
        <f>+D199+D207+D221+D229+D245</f>
        <v>11163425000</v>
      </c>
      <c r="E197" s="10">
        <f>+E199+E207+E221+E229+E245</f>
        <v>0</v>
      </c>
      <c r="F197" s="10">
        <f>+D197+E197</f>
        <v>11163425000</v>
      </c>
      <c r="G197" s="312">
        <f>+G199+G207+G221+G229+G239+G245</f>
        <v>1252965610</v>
      </c>
      <c r="H197" s="10">
        <f>+H199+H207+H221+H229+H239+H245</f>
        <v>1114177859</v>
      </c>
      <c r="I197" s="10">
        <f>+G197+H197</f>
        <v>2367143469</v>
      </c>
      <c r="J197" s="168">
        <f>+I197/F197</f>
        <v>0.21204455344126019</v>
      </c>
      <c r="K197" s="312">
        <f>+K199+K207+K221+K229+K245</f>
        <v>1108180704</v>
      </c>
      <c r="L197" s="10">
        <f>+L199+L207+L221+L229+L245</f>
        <v>1042723110</v>
      </c>
      <c r="M197" s="10">
        <f>+K197+L197</f>
        <v>2150903814</v>
      </c>
      <c r="N197" s="169">
        <f>+M197/F197</f>
        <v>0.19267418502834033</v>
      </c>
      <c r="O197" s="10">
        <f>+F197-M197</f>
        <v>9012521186</v>
      </c>
      <c r="P197" s="321"/>
      <c r="Q197" s="322" t="str">
        <f t="shared" ref="Q197:Q199" si="107">IF(M197&lt;=I197,"OKE","Salah")</f>
        <v>OKE</v>
      </c>
      <c r="R197" s="322"/>
    </row>
    <row r="198" spans="1:19" s="323" customFormat="1" ht="15" customHeight="1" x14ac:dyDescent="0.2">
      <c r="A198" s="7"/>
      <c r="B198" s="206"/>
      <c r="C198" s="305"/>
      <c r="D198" s="10"/>
      <c r="E198" s="296"/>
      <c r="F198" s="10"/>
      <c r="G198" s="10"/>
      <c r="H198" s="10"/>
      <c r="I198" s="10"/>
      <c r="J198" s="168"/>
      <c r="K198" s="10"/>
      <c r="L198" s="10"/>
      <c r="M198" s="10"/>
      <c r="N198" s="169"/>
      <c r="O198" s="10"/>
      <c r="P198" s="321"/>
      <c r="Q198" s="322"/>
      <c r="R198" s="322"/>
    </row>
    <row r="199" spans="1:19" ht="15" customHeight="1" x14ac:dyDescent="0.2">
      <c r="A199" s="212"/>
      <c r="B199" s="7" t="s">
        <v>160</v>
      </c>
      <c r="C199" s="208" t="s">
        <v>315</v>
      </c>
      <c r="D199" s="324">
        <f>+D201+D203</f>
        <v>164975000</v>
      </c>
      <c r="E199" s="325"/>
      <c r="F199" s="324">
        <f>+D199+E199</f>
        <v>164975000</v>
      </c>
      <c r="G199" s="324">
        <f t="shared" ref="G199:H199" si="108">+G201+G203</f>
        <v>0</v>
      </c>
      <c r="H199" s="324">
        <f t="shared" si="108"/>
        <v>2250000</v>
      </c>
      <c r="I199" s="10">
        <f>+G199+H199</f>
        <v>2250000</v>
      </c>
      <c r="J199" s="168">
        <f>+I199/F199</f>
        <v>1.3638430065161388E-2</v>
      </c>
      <c r="K199" s="324">
        <f t="shared" ref="K199:L199" si="109">+K201+K203</f>
        <v>0</v>
      </c>
      <c r="L199" s="324">
        <f t="shared" si="109"/>
        <v>2250000</v>
      </c>
      <c r="M199" s="10">
        <f>+K199+L199</f>
        <v>2250000</v>
      </c>
      <c r="N199" s="169">
        <f>+M199/F199</f>
        <v>1.3638430065161388E-2</v>
      </c>
      <c r="O199" s="10">
        <f>+F199-M199</f>
        <v>162725000</v>
      </c>
      <c r="P199" s="77"/>
      <c r="Q199" s="6" t="str">
        <f t="shared" si="107"/>
        <v>OKE</v>
      </c>
      <c r="R199" s="6"/>
    </row>
    <row r="200" spans="1:19" ht="15" customHeight="1" x14ac:dyDescent="0.2">
      <c r="A200" s="74"/>
      <c r="B200" s="74"/>
      <c r="C200" s="76"/>
      <c r="D200" s="15"/>
      <c r="E200" s="17"/>
      <c r="F200" s="15"/>
      <c r="G200" s="78"/>
      <c r="H200" s="79"/>
      <c r="I200" s="80"/>
      <c r="J200" s="86"/>
      <c r="K200" s="78"/>
      <c r="L200" s="76"/>
      <c r="M200" s="76"/>
      <c r="N200" s="86"/>
      <c r="O200" s="10"/>
      <c r="P200" s="77"/>
      <c r="Q200" s="6"/>
      <c r="R200" s="6"/>
    </row>
    <row r="201" spans="1:19" ht="15" customHeight="1" x14ac:dyDescent="0.2">
      <c r="A201" s="74">
        <v>1</v>
      </c>
      <c r="B201" s="28" t="s">
        <v>164</v>
      </c>
      <c r="C201" s="83" t="s">
        <v>316</v>
      </c>
      <c r="D201" s="326">
        <v>139975000</v>
      </c>
      <c r="E201" s="329"/>
      <c r="F201" s="326">
        <f>+D201+E201</f>
        <v>139975000</v>
      </c>
      <c r="G201" s="80">
        <f>+peb!I201</f>
        <v>0</v>
      </c>
      <c r="H201" s="79">
        <v>0</v>
      </c>
      <c r="I201" s="15">
        <v>0</v>
      </c>
      <c r="J201" s="143">
        <f>+I201/F201</f>
        <v>0</v>
      </c>
      <c r="K201" s="80">
        <f>+peb!M201</f>
        <v>0</v>
      </c>
      <c r="L201" s="80">
        <v>0</v>
      </c>
      <c r="M201" s="80">
        <f>+K201+L201</f>
        <v>0</v>
      </c>
      <c r="N201" s="171">
        <f>+M201/F201</f>
        <v>0</v>
      </c>
      <c r="O201" s="15">
        <f>+F201-M201</f>
        <v>139975000</v>
      </c>
      <c r="P201" s="77"/>
      <c r="Q201" s="6" t="str">
        <f t="shared" ref="Q201" si="110">IF(M201&lt;=I201,"OKE","Salah")</f>
        <v>OKE</v>
      </c>
      <c r="R201" s="6"/>
    </row>
    <row r="202" spans="1:19" ht="15" customHeight="1" x14ac:dyDescent="0.2">
      <c r="A202" s="74"/>
      <c r="B202" s="74"/>
      <c r="C202" s="83"/>
      <c r="D202" s="15"/>
      <c r="E202" s="17"/>
      <c r="F202" s="15"/>
      <c r="G202" s="78"/>
      <c r="H202" s="79"/>
      <c r="I202" s="80"/>
      <c r="J202" s="86"/>
      <c r="K202" s="78"/>
      <c r="L202" s="76"/>
      <c r="M202" s="76"/>
      <c r="N202" s="86"/>
      <c r="O202" s="10"/>
      <c r="P202" s="77"/>
      <c r="Q202" s="6"/>
      <c r="R202" s="6"/>
    </row>
    <row r="203" spans="1:19" ht="26.25" customHeight="1" x14ac:dyDescent="0.2">
      <c r="A203" s="74">
        <v>2</v>
      </c>
      <c r="B203" s="28" t="s">
        <v>165</v>
      </c>
      <c r="C203" s="304" t="s">
        <v>317</v>
      </c>
      <c r="D203" s="326">
        <v>25000000</v>
      </c>
      <c r="E203" s="329"/>
      <c r="F203" s="326">
        <f>+D203+E203</f>
        <v>25000000</v>
      </c>
      <c r="G203" s="80">
        <f>+peb!I203</f>
        <v>0</v>
      </c>
      <c r="H203" s="79">
        <v>2250000</v>
      </c>
      <c r="I203" s="15">
        <f>+G203+H203</f>
        <v>2250000</v>
      </c>
      <c r="J203" s="143">
        <f>+I203/F203</f>
        <v>0.09</v>
      </c>
      <c r="K203" s="80">
        <f>+peb!M203</f>
        <v>0</v>
      </c>
      <c r="L203" s="80">
        <v>2250000</v>
      </c>
      <c r="M203" s="80">
        <f>+K203+L203</f>
        <v>2250000</v>
      </c>
      <c r="N203" s="171">
        <f>+M203/F203</f>
        <v>0.09</v>
      </c>
      <c r="O203" s="15">
        <f>+F203-M203</f>
        <v>22750000</v>
      </c>
      <c r="P203" s="77"/>
      <c r="Q203" s="6" t="str">
        <f t="shared" ref="Q203" si="111">IF(M203&lt;=I203,"OKE","Salah")</f>
        <v>OKE</v>
      </c>
      <c r="R203" s="6"/>
    </row>
    <row r="204" spans="1:19" ht="15" customHeight="1" x14ac:dyDescent="0.2">
      <c r="A204" s="74"/>
      <c r="B204" s="28"/>
      <c r="C204" s="304"/>
      <c r="D204" s="326"/>
      <c r="E204" s="329"/>
      <c r="F204" s="326"/>
      <c r="G204" s="78"/>
      <c r="H204" s="79"/>
      <c r="I204" s="15"/>
      <c r="J204" s="143"/>
      <c r="K204" s="78"/>
      <c r="L204" s="80"/>
      <c r="M204" s="80"/>
      <c r="N204" s="171"/>
      <c r="O204" s="15"/>
      <c r="P204" s="77"/>
      <c r="Q204" s="6"/>
      <c r="R204" s="6"/>
    </row>
    <row r="205" spans="1:19" ht="15" customHeight="1" x14ac:dyDescent="0.2">
      <c r="A205" s="81"/>
      <c r="B205" s="81"/>
      <c r="C205" s="23" t="s">
        <v>172</v>
      </c>
      <c r="D205" s="24">
        <f>+D201+D203</f>
        <v>164975000</v>
      </c>
      <c r="E205" s="24">
        <f t="shared" ref="E205" si="112">+E201+E203</f>
        <v>0</v>
      </c>
      <c r="F205" s="24">
        <f>+D205+E205</f>
        <v>164975000</v>
      </c>
      <c r="G205" s="24">
        <f t="shared" ref="G205:H205" si="113">+G201+G203</f>
        <v>0</v>
      </c>
      <c r="H205" s="24">
        <f t="shared" si="113"/>
        <v>2250000</v>
      </c>
      <c r="I205" s="24">
        <f>+G205+H205</f>
        <v>2250000</v>
      </c>
      <c r="J205" s="175">
        <f>+I205/F205</f>
        <v>1.3638430065161388E-2</v>
      </c>
      <c r="K205" s="24">
        <f t="shared" ref="K205:L205" si="114">+K201+K203</f>
        <v>0</v>
      </c>
      <c r="L205" s="24">
        <f t="shared" si="114"/>
        <v>2250000</v>
      </c>
      <c r="M205" s="24">
        <f>+K205+L205</f>
        <v>2250000</v>
      </c>
      <c r="N205" s="172">
        <f>+M205/F205</f>
        <v>1.3638430065161388E-2</v>
      </c>
      <c r="O205" s="24">
        <f>+F205-M205</f>
        <v>162725000</v>
      </c>
      <c r="P205" s="77"/>
      <c r="Q205" s="6" t="str">
        <f t="shared" ref="Q205" si="115">IF(M205&lt;=I205,"OKE","Salah")</f>
        <v>OKE</v>
      </c>
      <c r="R205" s="6"/>
    </row>
    <row r="206" spans="1:19" ht="14.1" customHeight="1" x14ac:dyDescent="0.2">
      <c r="A206" s="74"/>
      <c r="B206" s="28"/>
      <c r="C206" s="83"/>
      <c r="D206" s="326"/>
      <c r="E206" s="329"/>
      <c r="F206" s="339"/>
      <c r="G206" s="78"/>
      <c r="H206" s="79"/>
      <c r="I206" s="15"/>
      <c r="J206" s="143"/>
      <c r="K206" s="78"/>
      <c r="L206" s="80"/>
      <c r="M206" s="80"/>
      <c r="N206" s="171"/>
      <c r="O206" s="15"/>
      <c r="P206" s="77"/>
      <c r="Q206" s="6"/>
      <c r="R206" s="6"/>
    </row>
    <row r="207" spans="1:19" s="77" customFormat="1" ht="14.1" customHeight="1" x14ac:dyDescent="0.2">
      <c r="A207" s="212"/>
      <c r="B207" s="7" t="s">
        <v>160</v>
      </c>
      <c r="C207" s="208" t="s">
        <v>159</v>
      </c>
      <c r="D207" s="324">
        <f>SUM(D209:D217)</f>
        <v>5266450000</v>
      </c>
      <c r="E207" s="325"/>
      <c r="F207" s="324">
        <f>+D207+E207</f>
        <v>5266450000</v>
      </c>
      <c r="G207" s="324">
        <f t="shared" ref="G207:H207" si="116">SUM(G209:G217)</f>
        <v>653620406</v>
      </c>
      <c r="H207" s="324">
        <f t="shared" si="116"/>
        <v>462236994</v>
      </c>
      <c r="I207" s="10">
        <f>+G207+H207</f>
        <v>1115857400</v>
      </c>
      <c r="J207" s="168">
        <f>+I207/F207</f>
        <v>0.21188037482554661</v>
      </c>
      <c r="K207" s="324">
        <f t="shared" ref="K207:L207" si="117">SUM(K209:K217)</f>
        <v>652945500</v>
      </c>
      <c r="L207" s="324">
        <f t="shared" si="117"/>
        <v>462911900</v>
      </c>
      <c r="M207" s="10">
        <f>+K207+L207</f>
        <v>1115857400</v>
      </c>
      <c r="N207" s="169">
        <f>+M207/F207</f>
        <v>0.21188037482554661</v>
      </c>
      <c r="O207" s="10">
        <f>+F207-M207</f>
        <v>4150592600</v>
      </c>
      <c r="Q207" s="6" t="str">
        <f t="shared" si="106"/>
        <v>OKE</v>
      </c>
      <c r="R207" s="6"/>
      <c r="S207" s="69"/>
    </row>
    <row r="208" spans="1:19" s="77" customFormat="1" ht="14.1" customHeight="1" x14ac:dyDescent="0.2">
      <c r="A208" s="74"/>
      <c r="B208" s="74"/>
      <c r="C208" s="76"/>
      <c r="D208" s="15"/>
      <c r="E208" s="17"/>
      <c r="F208" s="15"/>
      <c r="G208" s="78"/>
      <c r="H208" s="79"/>
      <c r="I208" s="80"/>
      <c r="J208" s="86"/>
      <c r="K208" s="78"/>
      <c r="L208" s="76"/>
      <c r="M208" s="76"/>
      <c r="N208" s="86"/>
      <c r="O208" s="10"/>
      <c r="Q208" s="6"/>
      <c r="R208" s="6"/>
      <c r="S208" s="69"/>
    </row>
    <row r="209" spans="1:19" s="77" customFormat="1" ht="15" customHeight="1" x14ac:dyDescent="0.2">
      <c r="A209" s="74">
        <v>3</v>
      </c>
      <c r="B209" s="28" t="s">
        <v>164</v>
      </c>
      <c r="C209" s="83" t="s">
        <v>161</v>
      </c>
      <c r="D209" s="326">
        <v>1660000000</v>
      </c>
      <c r="E209" s="329"/>
      <c r="F209" s="326">
        <f>+D209+E209</f>
        <v>1660000000</v>
      </c>
      <c r="G209" s="80">
        <f>+peb!I209</f>
        <v>185276300</v>
      </c>
      <c r="H209" s="80">
        <f>84269000+67085900</f>
        <v>151354900</v>
      </c>
      <c r="I209" s="15">
        <f>+G209+H209</f>
        <v>336631200</v>
      </c>
      <c r="J209" s="143">
        <f>+I209/F209</f>
        <v>0.20278987951807229</v>
      </c>
      <c r="K209" s="80">
        <f>+peb!M209</f>
        <v>185276300</v>
      </c>
      <c r="L209" s="80">
        <f>84269000+67085900</f>
        <v>151354900</v>
      </c>
      <c r="M209" s="80">
        <f>+K209+L209</f>
        <v>336631200</v>
      </c>
      <c r="N209" s="171">
        <f>+M209/F209</f>
        <v>0.20278987951807229</v>
      </c>
      <c r="O209" s="15">
        <f>+F209-M209</f>
        <v>1323368800</v>
      </c>
      <c r="P209" s="179"/>
      <c r="Q209" s="6" t="str">
        <f t="shared" si="106"/>
        <v>OKE</v>
      </c>
      <c r="R209" s="6"/>
      <c r="S209" s="68"/>
    </row>
    <row r="210" spans="1:19" s="77" customFormat="1" ht="14.1" customHeight="1" x14ac:dyDescent="0.2">
      <c r="A210" s="74"/>
      <c r="B210" s="74"/>
      <c r="C210" s="83"/>
      <c r="D210" s="15"/>
      <c r="E210" s="17"/>
      <c r="F210" s="15"/>
      <c r="G210" s="78"/>
      <c r="H210" s="79"/>
      <c r="I210" s="15">
        <f>+G210+H210</f>
        <v>0</v>
      </c>
      <c r="J210" s="86"/>
      <c r="K210" s="78"/>
      <c r="L210" s="76"/>
      <c r="M210" s="76"/>
      <c r="N210" s="86"/>
      <c r="O210" s="10"/>
      <c r="Q210" s="6"/>
      <c r="R210" s="6"/>
      <c r="S210" s="68"/>
    </row>
    <row r="211" spans="1:19" s="77" customFormat="1" ht="15.75" customHeight="1" x14ac:dyDescent="0.2">
      <c r="A211" s="74">
        <v>4</v>
      </c>
      <c r="B211" s="28" t="s">
        <v>165</v>
      </c>
      <c r="C211" s="83" t="s">
        <v>162</v>
      </c>
      <c r="D211" s="326">
        <v>575000000</v>
      </c>
      <c r="E211" s="329"/>
      <c r="F211" s="326">
        <f>+D211+E211</f>
        <v>575000000</v>
      </c>
      <c r="G211" s="80">
        <f>+peb!I211</f>
        <v>41504700</v>
      </c>
      <c r="H211" s="79">
        <v>30219500</v>
      </c>
      <c r="I211" s="15">
        <f>+G211+H211</f>
        <v>71724200</v>
      </c>
      <c r="J211" s="143">
        <f>+I211/F211</f>
        <v>0.12473773913043479</v>
      </c>
      <c r="K211" s="80">
        <f>+peb!M211</f>
        <v>41504700</v>
      </c>
      <c r="L211" s="80">
        <v>30219500</v>
      </c>
      <c r="M211" s="80">
        <f>+K211+L211</f>
        <v>71724200</v>
      </c>
      <c r="N211" s="171">
        <f>+M211/F211</f>
        <v>0.12473773913043479</v>
      </c>
      <c r="O211" s="15">
        <f>+F211-M211</f>
        <v>503275800</v>
      </c>
      <c r="Q211" s="6" t="str">
        <f t="shared" si="106"/>
        <v>OKE</v>
      </c>
      <c r="R211" s="6"/>
      <c r="S211" s="69"/>
    </row>
    <row r="212" spans="1:19" s="77" customFormat="1" ht="14.1" customHeight="1" x14ac:dyDescent="0.2">
      <c r="A212" s="74"/>
      <c r="B212" s="74"/>
      <c r="C212" s="76"/>
      <c r="D212" s="15"/>
      <c r="E212" s="17"/>
      <c r="F212" s="15"/>
      <c r="G212" s="78"/>
      <c r="H212" s="79"/>
      <c r="I212" s="80"/>
      <c r="J212" s="86"/>
      <c r="K212" s="78"/>
      <c r="L212" s="76"/>
      <c r="M212" s="76"/>
      <c r="N212" s="86"/>
      <c r="O212" s="10"/>
      <c r="Q212" s="6"/>
      <c r="R212" s="6"/>
      <c r="S212" s="68"/>
    </row>
    <row r="213" spans="1:19" s="77" customFormat="1" ht="17.25" customHeight="1" x14ac:dyDescent="0.2">
      <c r="A213" s="74">
        <v>5</v>
      </c>
      <c r="B213" s="28" t="s">
        <v>166</v>
      </c>
      <c r="C213" s="83" t="s">
        <v>163</v>
      </c>
      <c r="D213" s="326">
        <v>270000000</v>
      </c>
      <c r="E213" s="329"/>
      <c r="F213" s="326">
        <f>+D213+E213</f>
        <v>270000000</v>
      </c>
      <c r="G213" s="80">
        <f>+peb!I213</f>
        <v>16839500</v>
      </c>
      <c r="H213" s="79">
        <v>17714500</v>
      </c>
      <c r="I213" s="15">
        <f>+G213+H213</f>
        <v>34554000</v>
      </c>
      <c r="J213" s="143">
        <f>+I213/F213</f>
        <v>0.12797777777777777</v>
      </c>
      <c r="K213" s="80">
        <f>+peb!M213</f>
        <v>16839500</v>
      </c>
      <c r="L213" s="80">
        <v>17714500</v>
      </c>
      <c r="M213" s="80">
        <f>+K213+L213</f>
        <v>34554000</v>
      </c>
      <c r="N213" s="171">
        <f>+M213/F213</f>
        <v>0.12797777777777777</v>
      </c>
      <c r="O213" s="15">
        <f>+F213-M213</f>
        <v>235446000</v>
      </c>
      <c r="Q213" s="6" t="str">
        <f t="shared" si="106"/>
        <v>OKE</v>
      </c>
      <c r="R213" s="6"/>
      <c r="S213" s="68"/>
    </row>
    <row r="214" spans="1:19" s="77" customFormat="1" ht="14.1" customHeight="1" x14ac:dyDescent="0.2">
      <c r="A214" s="74"/>
      <c r="B214" s="28"/>
      <c r="C214" s="83"/>
      <c r="D214" s="326"/>
      <c r="E214" s="329"/>
      <c r="F214" s="326"/>
      <c r="G214" s="78"/>
      <c r="H214" s="79"/>
      <c r="I214" s="15"/>
      <c r="J214" s="143"/>
      <c r="K214" s="78"/>
      <c r="L214" s="80"/>
      <c r="M214" s="80"/>
      <c r="N214" s="171"/>
      <c r="O214" s="15"/>
      <c r="Q214" s="6"/>
      <c r="R214" s="6"/>
      <c r="S214" s="68"/>
    </row>
    <row r="215" spans="1:19" s="77" customFormat="1" ht="17.25" customHeight="1" x14ac:dyDescent="0.2">
      <c r="A215" s="74">
        <v>6</v>
      </c>
      <c r="B215" s="28" t="s">
        <v>168</v>
      </c>
      <c r="C215" s="83" t="s">
        <v>167</v>
      </c>
      <c r="D215" s="326">
        <v>1800000000</v>
      </c>
      <c r="E215" s="329"/>
      <c r="F215" s="326">
        <f>+D215+E215</f>
        <v>1800000000</v>
      </c>
      <c r="G215" s="80">
        <f>+peb!I215</f>
        <v>311950906</v>
      </c>
      <c r="H215" s="79">
        <v>91783094</v>
      </c>
      <c r="I215" s="15">
        <f>+G215+H215</f>
        <v>403734000</v>
      </c>
      <c r="J215" s="143">
        <f>+I215/F215</f>
        <v>0.22429666666666667</v>
      </c>
      <c r="K215" s="80">
        <f>+peb!M215</f>
        <v>311276000</v>
      </c>
      <c r="L215" s="80">
        <v>92458000</v>
      </c>
      <c r="M215" s="80">
        <f>+K215+L215</f>
        <v>403734000</v>
      </c>
      <c r="N215" s="171">
        <f>+M215/F215</f>
        <v>0.22429666666666667</v>
      </c>
      <c r="O215" s="15">
        <f>+F215-M215</f>
        <v>1396266000</v>
      </c>
      <c r="Q215" s="6" t="str">
        <f t="shared" si="106"/>
        <v>OKE</v>
      </c>
      <c r="R215" s="6"/>
      <c r="S215" s="68"/>
    </row>
    <row r="216" spans="1:19" s="77" customFormat="1" ht="14.1" customHeight="1" x14ac:dyDescent="0.2">
      <c r="A216" s="74"/>
      <c r="B216" s="28"/>
      <c r="C216" s="83"/>
      <c r="D216" s="326"/>
      <c r="E216" s="329"/>
      <c r="F216" s="326"/>
      <c r="G216" s="78"/>
      <c r="H216" s="79"/>
      <c r="I216" s="15"/>
      <c r="J216" s="143"/>
      <c r="K216" s="78"/>
      <c r="L216" s="80"/>
      <c r="M216" s="80"/>
      <c r="N216" s="171"/>
      <c r="O216" s="15"/>
      <c r="Q216" s="6"/>
      <c r="R216" s="6"/>
      <c r="S216" s="68"/>
    </row>
    <row r="217" spans="1:19" s="77" customFormat="1" ht="16.5" customHeight="1" x14ac:dyDescent="0.2">
      <c r="A217" s="74">
        <v>7</v>
      </c>
      <c r="B217" s="28" t="s">
        <v>170</v>
      </c>
      <c r="C217" s="83" t="s">
        <v>169</v>
      </c>
      <c r="D217" s="326">
        <v>961450000</v>
      </c>
      <c r="E217" s="329"/>
      <c r="F217" s="326">
        <f>+D217+E217</f>
        <v>961450000</v>
      </c>
      <c r="G217" s="80">
        <f>+peb!I217</f>
        <v>98049000</v>
      </c>
      <c r="H217" s="79">
        <v>171165000</v>
      </c>
      <c r="I217" s="15">
        <f>+G217+H217</f>
        <v>269214000</v>
      </c>
      <c r="J217" s="143">
        <f>+I217/F217</f>
        <v>0.28000832076551041</v>
      </c>
      <c r="K217" s="80">
        <f>+peb!M217</f>
        <v>98049000</v>
      </c>
      <c r="L217" s="80">
        <v>171165000</v>
      </c>
      <c r="M217" s="80">
        <f>+K217+L217</f>
        <v>269214000</v>
      </c>
      <c r="N217" s="171">
        <f>+M217/F217</f>
        <v>0.28000832076551041</v>
      </c>
      <c r="O217" s="15">
        <f>+F217-M217</f>
        <v>692236000</v>
      </c>
      <c r="Q217" s="6" t="str">
        <f t="shared" si="106"/>
        <v>OKE</v>
      </c>
      <c r="R217" s="6"/>
      <c r="S217" s="68"/>
    </row>
    <row r="218" spans="1:19" s="77" customFormat="1" ht="14.1" customHeight="1" x14ac:dyDescent="0.2">
      <c r="A218" s="74"/>
      <c r="B218" s="28"/>
      <c r="C218" s="83"/>
      <c r="D218" s="326"/>
      <c r="E218" s="329"/>
      <c r="F218" s="326"/>
      <c r="G218" s="78"/>
      <c r="H218" s="79"/>
      <c r="I218" s="15"/>
      <c r="J218" s="143"/>
      <c r="K218" s="78"/>
      <c r="L218" s="80"/>
      <c r="M218" s="80"/>
      <c r="N218" s="171"/>
      <c r="O218" s="15"/>
      <c r="Q218" s="6"/>
      <c r="R218" s="6"/>
      <c r="S218" s="68"/>
    </row>
    <row r="219" spans="1:19" ht="14.1" customHeight="1" x14ac:dyDescent="0.2">
      <c r="A219" s="81"/>
      <c r="B219" s="81"/>
      <c r="C219" s="23" t="s">
        <v>172</v>
      </c>
      <c r="D219" s="24">
        <f>SUM(D209:D217)</f>
        <v>5266450000</v>
      </c>
      <c r="E219" s="24">
        <f t="shared" ref="E219" si="118">SUM(E209:E217)</f>
        <v>0</v>
      </c>
      <c r="F219" s="141">
        <f>+D219+E219</f>
        <v>5266450000</v>
      </c>
      <c r="G219" s="24">
        <f>SUM(G209:G217)</f>
        <v>653620406</v>
      </c>
      <c r="H219" s="24">
        <f>SUM(H209:H217)</f>
        <v>462236994</v>
      </c>
      <c r="I219" s="24">
        <f>+G219+H219</f>
        <v>1115857400</v>
      </c>
      <c r="J219" s="175">
        <f>+I219/F219</f>
        <v>0.21188037482554661</v>
      </c>
      <c r="K219" s="316">
        <f>SUM(K209:K218)</f>
        <v>652945500</v>
      </c>
      <c r="L219" s="24">
        <f>SUM(L209:L218)</f>
        <v>462911900</v>
      </c>
      <c r="M219" s="24">
        <f>+K219+L219</f>
        <v>1115857400</v>
      </c>
      <c r="N219" s="172">
        <f>+M219/F219</f>
        <v>0.21188037482554661</v>
      </c>
      <c r="O219" s="24">
        <f>+F219-M219</f>
        <v>4150592600</v>
      </c>
      <c r="P219" s="77"/>
      <c r="Q219" s="6" t="str">
        <f t="shared" si="106"/>
        <v>OKE</v>
      </c>
      <c r="R219" s="6"/>
    </row>
    <row r="220" spans="1:19" ht="14.1" customHeight="1" x14ac:dyDescent="0.2">
      <c r="A220" s="74"/>
      <c r="B220" s="74"/>
      <c r="C220" s="76"/>
      <c r="D220" s="15"/>
      <c r="E220" s="15"/>
      <c r="F220" s="15"/>
      <c r="G220" s="80"/>
      <c r="H220" s="79"/>
      <c r="I220" s="80"/>
      <c r="J220" s="86"/>
      <c r="K220" s="80"/>
      <c r="L220" s="76"/>
      <c r="M220" s="76"/>
      <c r="N220" s="86"/>
      <c r="O220" s="10"/>
      <c r="P220" s="77"/>
      <c r="Q220" s="6"/>
      <c r="R220" s="6"/>
    </row>
    <row r="221" spans="1:19" ht="14.1" customHeight="1" x14ac:dyDescent="0.2">
      <c r="A221" s="206"/>
      <c r="B221" s="206" t="s">
        <v>173</v>
      </c>
      <c r="C221" s="255" t="s">
        <v>177</v>
      </c>
      <c r="D221" s="209">
        <f>D227</f>
        <v>1022000000</v>
      </c>
      <c r="E221" s="10">
        <f>E227</f>
        <v>0</v>
      </c>
      <c r="F221" s="10">
        <f>+D221+E221</f>
        <v>1022000000</v>
      </c>
      <c r="G221" s="10">
        <f>G227</f>
        <v>212861035</v>
      </c>
      <c r="H221" s="10">
        <f>H227</f>
        <v>100807325</v>
      </c>
      <c r="I221" s="10">
        <f>+G221+H221</f>
        <v>313668360</v>
      </c>
      <c r="J221" s="168">
        <f>+I221/F221</f>
        <v>0.30691620352250487</v>
      </c>
      <c r="K221" s="10">
        <f>K227</f>
        <v>212861035</v>
      </c>
      <c r="L221" s="10">
        <f>L227</f>
        <v>100807325</v>
      </c>
      <c r="M221" s="10">
        <f>+K221+L221</f>
        <v>313668360</v>
      </c>
      <c r="N221" s="169">
        <f>+M221/F221</f>
        <v>0.30691620352250487</v>
      </c>
      <c r="O221" s="10">
        <f>+F221-M221</f>
        <v>708331640</v>
      </c>
      <c r="P221" s="77"/>
      <c r="Q221" s="6" t="str">
        <f t="shared" si="106"/>
        <v>OKE</v>
      </c>
      <c r="R221" s="6"/>
    </row>
    <row r="222" spans="1:19" ht="14.1" customHeight="1" x14ac:dyDescent="0.2">
      <c r="A222" s="74"/>
      <c r="B222" s="74"/>
      <c r="C222" s="76"/>
      <c r="D222" s="15"/>
      <c r="E222" s="15"/>
      <c r="F222" s="15"/>
      <c r="G222" s="80"/>
      <c r="H222" s="79"/>
      <c r="I222" s="80"/>
      <c r="J222" s="86"/>
      <c r="K222" s="80"/>
      <c r="L222" s="76"/>
      <c r="M222" s="76"/>
      <c r="N222" s="86"/>
      <c r="O222" s="10"/>
      <c r="P222" s="77"/>
      <c r="Q222" s="6"/>
      <c r="R222" s="6"/>
    </row>
    <row r="223" spans="1:19" ht="14.1" customHeight="1" x14ac:dyDescent="0.2">
      <c r="A223" s="74">
        <v>8</v>
      </c>
      <c r="B223" s="28" t="s">
        <v>174</v>
      </c>
      <c r="C223" s="27" t="s">
        <v>60</v>
      </c>
      <c r="D223" s="326">
        <v>22000000</v>
      </c>
      <c r="E223" s="329"/>
      <c r="F223" s="326">
        <f>+D223+E223</f>
        <v>22000000</v>
      </c>
      <c r="G223" s="80">
        <f>+peb!I223</f>
        <v>1100000</v>
      </c>
      <c r="H223" s="79">
        <v>1100000</v>
      </c>
      <c r="I223" s="15">
        <f t="shared" ref="I223:I225" si="119">+G223+H223</f>
        <v>2200000</v>
      </c>
      <c r="J223" s="143">
        <f>+I223/F223</f>
        <v>0.1</v>
      </c>
      <c r="K223" s="80">
        <f>+peb!M223</f>
        <v>1100000</v>
      </c>
      <c r="L223" s="80">
        <v>1100000</v>
      </c>
      <c r="M223" s="80">
        <f t="shared" ref="M223" si="120">+K223+L223</f>
        <v>2200000</v>
      </c>
      <c r="N223" s="171">
        <f>+M223/F223</f>
        <v>0.1</v>
      </c>
      <c r="O223" s="15">
        <f>+F223-M223</f>
        <v>19800000</v>
      </c>
      <c r="P223" s="77"/>
      <c r="Q223" s="6" t="str">
        <f t="shared" si="106"/>
        <v>OKE</v>
      </c>
      <c r="R223" s="6"/>
    </row>
    <row r="224" spans="1:19" ht="14.1" customHeight="1" x14ac:dyDescent="0.2">
      <c r="A224" s="74"/>
      <c r="B224" s="28"/>
      <c r="C224" s="27"/>
      <c r="D224" s="326"/>
      <c r="E224" s="329"/>
      <c r="F224" s="326"/>
      <c r="G224" s="78"/>
      <c r="H224" s="79"/>
      <c r="I224" s="15"/>
      <c r="J224" s="143"/>
      <c r="K224" s="78"/>
      <c r="L224" s="80"/>
      <c r="M224" s="80"/>
      <c r="N224" s="171"/>
      <c r="O224" s="15"/>
      <c r="P224" s="77"/>
      <c r="Q224" s="6"/>
      <c r="R224" s="6"/>
    </row>
    <row r="225" spans="1:18" ht="14.1" customHeight="1" x14ac:dyDescent="0.2">
      <c r="A225" s="74">
        <v>9</v>
      </c>
      <c r="B225" s="28" t="s">
        <v>175</v>
      </c>
      <c r="C225" s="276" t="s">
        <v>176</v>
      </c>
      <c r="D225" s="326">
        <v>1000000000</v>
      </c>
      <c r="E225" s="329"/>
      <c r="F225" s="326">
        <f>+D225+E225</f>
        <v>1000000000</v>
      </c>
      <c r="G225" s="80">
        <f>+peb!I225</f>
        <v>211761035</v>
      </c>
      <c r="H225" s="79">
        <f>77228992+9657000+2819333+10002000</f>
        <v>99707325</v>
      </c>
      <c r="I225" s="15">
        <f t="shared" si="119"/>
        <v>311468360</v>
      </c>
      <c r="J225" s="143">
        <f>+I225/F225</f>
        <v>0.31146836</v>
      </c>
      <c r="K225" s="80">
        <f>+peb!M225</f>
        <v>211761035</v>
      </c>
      <c r="L225" s="80">
        <f>77228992+9657000+2819333+10002000</f>
        <v>99707325</v>
      </c>
      <c r="M225" s="80">
        <f>+K225+L225</f>
        <v>311468360</v>
      </c>
      <c r="N225" s="171">
        <f>+M225/F225</f>
        <v>0.31146836</v>
      </c>
      <c r="O225" s="15">
        <f>+F225-M225</f>
        <v>688531640</v>
      </c>
      <c r="P225" s="77"/>
      <c r="Q225" s="6" t="str">
        <f>IF(M225&lt;=I225,"OKE","Salah")</f>
        <v>OKE</v>
      </c>
      <c r="R225" s="6"/>
    </row>
    <row r="226" spans="1:18" ht="14.1" customHeight="1" x14ac:dyDescent="0.2">
      <c r="A226" s="74"/>
      <c r="B226" s="29"/>
      <c r="C226" s="27"/>
      <c r="D226" s="326"/>
      <c r="E226" s="329"/>
      <c r="F226" s="326"/>
      <c r="G226" s="78"/>
      <c r="H226" s="79"/>
      <c r="I226" s="15"/>
      <c r="J226" s="143"/>
      <c r="K226" s="80"/>
      <c r="L226" s="80"/>
      <c r="M226" s="80"/>
      <c r="N226" s="171"/>
      <c r="O226" s="15"/>
      <c r="P226" s="77"/>
      <c r="Q226" s="6"/>
      <c r="R226" s="6"/>
    </row>
    <row r="227" spans="1:18" ht="14.1" customHeight="1" x14ac:dyDescent="0.2">
      <c r="A227" s="81"/>
      <c r="B227" s="81"/>
      <c r="C227" s="23" t="s">
        <v>172</v>
      </c>
      <c r="D227" s="24">
        <f>+D223+D225</f>
        <v>1022000000</v>
      </c>
      <c r="E227" s="24">
        <f>SUM(E223:E226)</f>
        <v>0</v>
      </c>
      <c r="F227" s="141">
        <f>SUM(F223:F226)</f>
        <v>1022000000</v>
      </c>
      <c r="G227" s="24">
        <f t="shared" ref="G227:H227" si="121">+G223+G225</f>
        <v>212861035</v>
      </c>
      <c r="H227" s="24">
        <f t="shared" si="121"/>
        <v>100807325</v>
      </c>
      <c r="I227" s="24">
        <f>+G227+H227</f>
        <v>313668360</v>
      </c>
      <c r="J227" s="175">
        <f>+I227/F227</f>
        <v>0.30691620352250487</v>
      </c>
      <c r="K227" s="24">
        <f>SUM(K223:K226)</f>
        <v>212861035</v>
      </c>
      <c r="L227" s="24">
        <f>SUM(L223:L226)</f>
        <v>100807325</v>
      </c>
      <c r="M227" s="24">
        <f>+K227+L227</f>
        <v>313668360</v>
      </c>
      <c r="N227" s="172">
        <f>+M227/F227</f>
        <v>0.30691620352250487</v>
      </c>
      <c r="O227" s="24">
        <f>+F227-M227</f>
        <v>708331640</v>
      </c>
      <c r="P227" s="77"/>
      <c r="Q227" s="6" t="str">
        <f t="shared" si="106"/>
        <v>OKE</v>
      </c>
      <c r="R227" s="6"/>
    </row>
    <row r="228" spans="1:18" ht="15" customHeight="1" x14ac:dyDescent="0.2">
      <c r="A228" s="87"/>
      <c r="B228" s="87"/>
      <c r="C228" s="148"/>
      <c r="D228" s="149"/>
      <c r="E228" s="149"/>
      <c r="F228" s="149"/>
      <c r="G228" s="149"/>
      <c r="H228" s="149"/>
      <c r="I228" s="149"/>
      <c r="J228" s="177"/>
      <c r="K228" s="149"/>
      <c r="L228" s="149"/>
      <c r="M228" s="149"/>
      <c r="N228" s="174"/>
      <c r="O228" s="149"/>
      <c r="P228" s="77"/>
      <c r="Q228" s="6"/>
      <c r="R228" s="6"/>
    </row>
    <row r="229" spans="1:18" ht="15" customHeight="1" x14ac:dyDescent="0.2">
      <c r="A229" s="206"/>
      <c r="B229" s="206" t="s">
        <v>179</v>
      </c>
      <c r="C229" s="282" t="s">
        <v>178</v>
      </c>
      <c r="D229" s="209">
        <f>+D237</f>
        <v>2410000000</v>
      </c>
      <c r="E229" s="10">
        <f t="shared" ref="E229:F229" si="122">+E237</f>
        <v>0</v>
      </c>
      <c r="F229" s="10">
        <f t="shared" si="122"/>
        <v>2410000000</v>
      </c>
      <c r="G229" s="10">
        <f>+G237</f>
        <v>129224603</v>
      </c>
      <c r="H229" s="11">
        <f>+H237</f>
        <v>235239327</v>
      </c>
      <c r="I229" s="10">
        <f>+G229+H229</f>
        <v>364463930</v>
      </c>
      <c r="J229" s="168">
        <f>+I229/F229</f>
        <v>0.15122984647302903</v>
      </c>
      <c r="K229" s="10">
        <f>+K237</f>
        <v>129189603</v>
      </c>
      <c r="L229" s="10">
        <f>+L237</f>
        <v>235273577</v>
      </c>
      <c r="M229" s="10">
        <f>+K229+L229</f>
        <v>364463180</v>
      </c>
      <c r="N229" s="169">
        <f>+M229/F229</f>
        <v>0.15122953526970953</v>
      </c>
      <c r="O229" s="10">
        <f>+F229-M229</f>
        <v>2045536820</v>
      </c>
      <c r="P229" s="77"/>
      <c r="Q229" s="6" t="str">
        <f t="shared" ref="Q229:Q237" si="123">IF(M229&lt;=I229,"OKE","Salah")</f>
        <v>OKE</v>
      </c>
      <c r="R229" s="6"/>
    </row>
    <row r="230" spans="1:18" ht="15" customHeight="1" x14ac:dyDescent="0.2">
      <c r="A230" s="74"/>
      <c r="B230" s="74"/>
      <c r="C230" s="76"/>
      <c r="D230" s="15"/>
      <c r="E230" s="15"/>
      <c r="F230" s="15"/>
      <c r="G230" s="80"/>
      <c r="H230" s="79"/>
      <c r="I230" s="80"/>
      <c r="J230" s="86"/>
      <c r="K230" s="80"/>
      <c r="L230" s="76"/>
      <c r="M230" s="76"/>
      <c r="N230" s="86"/>
      <c r="O230" s="10"/>
      <c r="P230" s="77"/>
      <c r="Q230" s="6"/>
      <c r="R230" s="6"/>
    </row>
    <row r="231" spans="1:18" ht="28.5" customHeight="1" x14ac:dyDescent="0.2">
      <c r="A231" s="74">
        <v>10</v>
      </c>
      <c r="B231" s="207" t="s">
        <v>181</v>
      </c>
      <c r="C231" s="276" t="s">
        <v>180</v>
      </c>
      <c r="D231" s="338">
        <v>910000000</v>
      </c>
      <c r="E231" s="329"/>
      <c r="F231" s="326">
        <f>+D231+E231</f>
        <v>910000000</v>
      </c>
      <c r="G231" s="80">
        <f>+peb!I231</f>
        <v>64296103</v>
      </c>
      <c r="H231" s="79">
        <f>25059350+28302100+36738377</f>
        <v>90099827</v>
      </c>
      <c r="I231" s="15">
        <f>+G231+H231</f>
        <v>154395930</v>
      </c>
      <c r="J231" s="143">
        <f>+I231/F231</f>
        <v>0.16966585714285715</v>
      </c>
      <c r="K231" s="80">
        <f>+peb!M231</f>
        <v>64296103</v>
      </c>
      <c r="L231" s="80">
        <f>25059350+28302100+36738377</f>
        <v>90099827</v>
      </c>
      <c r="M231" s="80">
        <f>+K231+L231</f>
        <v>154395930</v>
      </c>
      <c r="N231" s="171">
        <f>+M231/F231</f>
        <v>0.16966585714285715</v>
      </c>
      <c r="O231" s="15">
        <f>+F231-M231</f>
        <v>755604070</v>
      </c>
      <c r="P231" s="77"/>
      <c r="Q231" s="6" t="str">
        <f t="shared" ref="Q231" si="124">IF(M231&lt;=I231,"OKE","Salah")</f>
        <v>OKE</v>
      </c>
      <c r="R231" s="6"/>
    </row>
    <row r="232" spans="1:18" ht="15" customHeight="1" x14ac:dyDescent="0.2">
      <c r="A232" s="74"/>
      <c r="B232" s="74"/>
      <c r="C232" s="83"/>
      <c r="D232" s="15"/>
      <c r="E232" s="17"/>
      <c r="F232" s="15"/>
      <c r="G232" s="78"/>
      <c r="H232" s="79"/>
      <c r="I232" s="80"/>
      <c r="J232" s="86"/>
      <c r="K232" s="78"/>
      <c r="L232" s="76"/>
      <c r="M232" s="76"/>
      <c r="N232" s="86"/>
      <c r="O232" s="10"/>
      <c r="P232" s="77"/>
      <c r="Q232" s="6"/>
      <c r="R232" s="6"/>
    </row>
    <row r="233" spans="1:18" ht="30.75" customHeight="1" x14ac:dyDescent="0.2">
      <c r="A233" s="74">
        <v>11</v>
      </c>
      <c r="B233" s="220" t="s">
        <v>209</v>
      </c>
      <c r="C233" s="274" t="s">
        <v>208</v>
      </c>
      <c r="D233" s="326">
        <v>1000000000</v>
      </c>
      <c r="E233" s="329"/>
      <c r="F233" s="326">
        <f>E233+D233</f>
        <v>1000000000</v>
      </c>
      <c r="G233" s="80">
        <f>+peb!I233</f>
        <v>43038500</v>
      </c>
      <c r="H233" s="79">
        <f>21546000+28500000+43026000</f>
        <v>93072000</v>
      </c>
      <c r="I233" s="15">
        <f>+G233+H233</f>
        <v>136110500</v>
      </c>
      <c r="J233" s="143">
        <f>+I233/F233</f>
        <v>0.1361105</v>
      </c>
      <c r="K233" s="80">
        <f>+peb!M233</f>
        <v>43026000</v>
      </c>
      <c r="L233" s="80">
        <f>21546000+28500000+43038500</f>
        <v>93084500</v>
      </c>
      <c r="M233" s="80">
        <f>+K233+L233</f>
        <v>136110500</v>
      </c>
      <c r="N233" s="171">
        <f>+M233/D233</f>
        <v>0.1361105</v>
      </c>
      <c r="O233" s="15">
        <f>+F233-M233</f>
        <v>863889500</v>
      </c>
      <c r="P233" s="83"/>
      <c r="Q233" s="6" t="str">
        <f t="shared" ref="Q233" si="125">IF(M233&lt;=I233,"OKE","Salah")</f>
        <v>OKE</v>
      </c>
      <c r="R233" s="6"/>
    </row>
    <row r="234" spans="1:18" ht="15" customHeight="1" x14ac:dyDescent="0.2">
      <c r="A234" s="74"/>
      <c r="B234" s="218"/>
      <c r="C234" s="25"/>
      <c r="D234" s="326"/>
      <c r="E234" s="329"/>
      <c r="F234" s="326"/>
      <c r="G234" s="78"/>
      <c r="H234" s="79"/>
      <c r="I234" s="15"/>
      <c r="J234" s="143"/>
      <c r="K234" s="78"/>
      <c r="L234" s="80"/>
      <c r="M234" s="80"/>
      <c r="N234" s="171"/>
      <c r="O234" s="15"/>
      <c r="P234" s="83"/>
      <c r="Q234" s="6"/>
      <c r="R234" s="6"/>
    </row>
    <row r="235" spans="1:18" ht="30.75" customHeight="1" x14ac:dyDescent="0.2">
      <c r="A235" s="74">
        <v>12</v>
      </c>
      <c r="B235" s="220" t="s">
        <v>211</v>
      </c>
      <c r="C235" s="275" t="s">
        <v>210</v>
      </c>
      <c r="D235" s="15">
        <v>500000000</v>
      </c>
      <c r="E235" s="15"/>
      <c r="F235" s="326">
        <f>E235+D235</f>
        <v>500000000</v>
      </c>
      <c r="G235" s="80">
        <f>+peb!I235</f>
        <v>21890000</v>
      </c>
      <c r="H235" s="79">
        <f>10000000+7200000+6000000+7000000+21867500</f>
        <v>52067500</v>
      </c>
      <c r="I235" s="15">
        <f>+G235+H235</f>
        <v>73957500</v>
      </c>
      <c r="J235" s="143">
        <f>+I235/F235</f>
        <v>0.14791499999999999</v>
      </c>
      <c r="K235" s="80">
        <f>+peb!M235</f>
        <v>21867500</v>
      </c>
      <c r="L235" s="80">
        <f>10000000+7200000+6000000+7000000+21889250</f>
        <v>52089250</v>
      </c>
      <c r="M235" s="80">
        <f>+K235+L235</f>
        <v>73956750</v>
      </c>
      <c r="N235" s="171">
        <f>+M235/D235</f>
        <v>0.1479135</v>
      </c>
      <c r="O235" s="15">
        <f>+F235-M235</f>
        <v>426043250</v>
      </c>
      <c r="P235" s="83"/>
      <c r="Q235" s="6" t="str">
        <f t="shared" ref="Q235" si="126">IF(M235&lt;=I235,"OKE","Salah")</f>
        <v>OKE</v>
      </c>
      <c r="R235" s="6"/>
    </row>
    <row r="236" spans="1:18" ht="15" customHeight="1" x14ac:dyDescent="0.2">
      <c r="A236" s="74"/>
      <c r="B236" s="74"/>
      <c r="C236" s="83"/>
      <c r="D236" s="15"/>
      <c r="E236" s="17"/>
      <c r="F236" s="15"/>
      <c r="G236" s="78"/>
      <c r="H236" s="79"/>
      <c r="I236" s="80"/>
      <c r="J236" s="86"/>
      <c r="K236" s="78"/>
      <c r="L236" s="76"/>
      <c r="M236" s="76"/>
      <c r="N236" s="86"/>
      <c r="O236" s="10"/>
      <c r="P236" s="77"/>
      <c r="Q236" s="6"/>
      <c r="R236" s="6"/>
    </row>
    <row r="237" spans="1:18" ht="18.75" customHeight="1" x14ac:dyDescent="0.2">
      <c r="A237" s="139"/>
      <c r="B237" s="139"/>
      <c r="C237" s="140" t="s">
        <v>172</v>
      </c>
      <c r="D237" s="141">
        <f>+D231+D233+D235</f>
        <v>2410000000</v>
      </c>
      <c r="E237" s="141">
        <f>+E231</f>
        <v>0</v>
      </c>
      <c r="F237" s="141">
        <f>+D237+E237</f>
        <v>2410000000</v>
      </c>
      <c r="G237" s="141">
        <f>+G231+G233+G235</f>
        <v>129224603</v>
      </c>
      <c r="H237" s="141">
        <f>+H231+H233+H235</f>
        <v>235239327</v>
      </c>
      <c r="I237" s="141">
        <f>+G237+H237</f>
        <v>364463930</v>
      </c>
      <c r="J237" s="176">
        <f>+I237/F237</f>
        <v>0.15122984647302903</v>
      </c>
      <c r="K237" s="141">
        <f>+K231+K233+K235</f>
        <v>129189603</v>
      </c>
      <c r="L237" s="141">
        <f>+L231+L233+L235</f>
        <v>235273577</v>
      </c>
      <c r="M237" s="141">
        <f>+K237+L237</f>
        <v>364463180</v>
      </c>
      <c r="N237" s="173">
        <f>+M237/F237</f>
        <v>0.15122953526970953</v>
      </c>
      <c r="O237" s="141">
        <f>+F237-M237</f>
        <v>2045536820</v>
      </c>
      <c r="P237" s="77"/>
      <c r="Q237" s="6" t="str">
        <f t="shared" si="123"/>
        <v>OKE</v>
      </c>
      <c r="R237" s="6"/>
    </row>
    <row r="238" spans="1:18" ht="15.95" customHeight="1" x14ac:dyDescent="0.2">
      <c r="A238" s="87"/>
      <c r="B238" s="182"/>
      <c r="C238" s="4"/>
      <c r="D238" s="339"/>
      <c r="E238" s="339"/>
      <c r="F238" s="339"/>
      <c r="G238" s="256"/>
      <c r="H238" s="257"/>
      <c r="I238" s="184"/>
      <c r="J238" s="185"/>
      <c r="K238" s="256"/>
      <c r="L238" s="256"/>
      <c r="M238" s="256"/>
      <c r="N238" s="186"/>
      <c r="O238" s="184"/>
      <c r="P238" s="77"/>
      <c r="Q238" s="6"/>
      <c r="R238" s="6"/>
    </row>
    <row r="239" spans="1:18" ht="31.5" customHeight="1" x14ac:dyDescent="0.2">
      <c r="A239" s="74"/>
      <c r="B239" s="214" t="s">
        <v>304</v>
      </c>
      <c r="C239" s="301" t="s">
        <v>277</v>
      </c>
      <c r="D239" s="324">
        <f>+D241</f>
        <v>1017000000</v>
      </c>
      <c r="E239" s="329"/>
      <c r="F239" s="324">
        <f>+D239+E239</f>
        <v>1017000000</v>
      </c>
      <c r="G239" s="324">
        <f t="shared" ref="G239:H239" si="127">+G241+G248</f>
        <v>144075000</v>
      </c>
      <c r="H239" s="324">
        <f t="shared" si="127"/>
        <v>72037500</v>
      </c>
      <c r="I239" s="10">
        <f>+G239+H239</f>
        <v>216112500</v>
      </c>
      <c r="J239" s="168">
        <f>+I239/F239</f>
        <v>0.21249999999999999</v>
      </c>
      <c r="K239" s="324">
        <f t="shared" ref="K239:L239" si="128">+K241+K248</f>
        <v>144075000</v>
      </c>
      <c r="L239" s="324">
        <f t="shared" si="128"/>
        <v>72037500</v>
      </c>
      <c r="M239" s="180">
        <f>+K239+L239</f>
        <v>216112500</v>
      </c>
      <c r="N239" s="169">
        <f>+M239/F239</f>
        <v>0.21249999999999999</v>
      </c>
      <c r="O239" s="10">
        <f>+F239-M239</f>
        <v>800887500</v>
      </c>
      <c r="P239" s="83"/>
      <c r="Q239" s="6" t="str">
        <f t="shared" ref="Q239" si="129">IF(M239&lt;=I239,"OKE","Salah")</f>
        <v>OKE</v>
      </c>
      <c r="R239" s="6"/>
    </row>
    <row r="240" spans="1:18" ht="15.95" customHeight="1" x14ac:dyDescent="0.2">
      <c r="A240" s="74"/>
      <c r="B240" s="74"/>
      <c r="C240" s="76"/>
      <c r="D240" s="15"/>
      <c r="E240" s="15"/>
      <c r="F240" s="15"/>
      <c r="G240" s="80"/>
      <c r="H240" s="79"/>
      <c r="I240" s="80"/>
      <c r="J240" s="86"/>
      <c r="K240" s="80"/>
      <c r="L240" s="76"/>
      <c r="M240" s="76"/>
      <c r="N240" s="86"/>
      <c r="O240" s="10"/>
      <c r="P240" s="83"/>
      <c r="Q240" s="6"/>
      <c r="R240" s="6"/>
    </row>
    <row r="241" spans="1:19" ht="27" customHeight="1" x14ac:dyDescent="0.2">
      <c r="A241" s="74">
        <v>11</v>
      </c>
      <c r="B241" s="29" t="s">
        <v>303</v>
      </c>
      <c r="C241" s="219" t="s">
        <v>312</v>
      </c>
      <c r="D241" s="326">
        <v>1017000000</v>
      </c>
      <c r="E241" s="329"/>
      <c r="F241" s="326">
        <f>+D241+E241</f>
        <v>1017000000</v>
      </c>
      <c r="G241" s="80">
        <f>+peb!I241</f>
        <v>144075000</v>
      </c>
      <c r="H241" s="79">
        <v>72037500</v>
      </c>
      <c r="I241" s="15">
        <f>+G241+H241</f>
        <v>216112500</v>
      </c>
      <c r="J241" s="143">
        <f>+I241/F241</f>
        <v>0.21249999999999999</v>
      </c>
      <c r="K241" s="80">
        <f>+peb!M241</f>
        <v>144075000</v>
      </c>
      <c r="L241" s="80">
        <v>72037500</v>
      </c>
      <c r="M241" s="80">
        <f>+K241+L241</f>
        <v>216112500</v>
      </c>
      <c r="N241" s="171">
        <f>+M241/F241</f>
        <v>0.21249999999999999</v>
      </c>
      <c r="O241" s="15">
        <f>+F241-M241</f>
        <v>800887500</v>
      </c>
      <c r="P241" s="83"/>
      <c r="Q241" s="6" t="str">
        <f t="shared" ref="Q241" si="130">IF(M241&lt;=I241,"OKE","Salah")</f>
        <v>OKE</v>
      </c>
      <c r="R241" s="6"/>
    </row>
    <row r="242" spans="1:19" ht="16.5" customHeight="1" x14ac:dyDescent="0.2">
      <c r="A242" s="74"/>
      <c r="B242" s="29"/>
      <c r="C242" s="219"/>
      <c r="D242" s="326"/>
      <c r="E242" s="329"/>
      <c r="F242" s="326"/>
      <c r="G242" s="78"/>
      <c r="H242" s="79"/>
      <c r="I242" s="15"/>
      <c r="J242" s="143"/>
      <c r="K242" s="78"/>
      <c r="L242" s="80"/>
      <c r="M242" s="80"/>
      <c r="N242" s="171"/>
      <c r="O242" s="15"/>
      <c r="P242" s="77"/>
      <c r="Q242" s="6"/>
      <c r="R242" s="6"/>
    </row>
    <row r="243" spans="1:19" ht="17.25" customHeight="1" x14ac:dyDescent="0.2">
      <c r="A243" s="139"/>
      <c r="B243" s="139"/>
      <c r="C243" s="140" t="s">
        <v>172</v>
      </c>
      <c r="D243" s="141">
        <f>+D241</f>
        <v>1017000000</v>
      </c>
      <c r="E243" s="141">
        <f>+E241</f>
        <v>0</v>
      </c>
      <c r="F243" s="141">
        <f>+F241</f>
        <v>1017000000</v>
      </c>
      <c r="G243" s="141">
        <f t="shared" ref="G243:H243" si="131">+G241</f>
        <v>144075000</v>
      </c>
      <c r="H243" s="141">
        <f t="shared" si="131"/>
        <v>72037500</v>
      </c>
      <c r="I243" s="141">
        <f>+G243+H243</f>
        <v>216112500</v>
      </c>
      <c r="J243" s="176">
        <f>+I243/F243</f>
        <v>0.21249999999999999</v>
      </c>
      <c r="K243" s="141">
        <f>+K241</f>
        <v>144075000</v>
      </c>
      <c r="L243" s="141">
        <f>+L241</f>
        <v>72037500</v>
      </c>
      <c r="M243" s="141">
        <f>+K243+L243</f>
        <v>216112500</v>
      </c>
      <c r="N243" s="173">
        <f>+M243/F243</f>
        <v>0.21249999999999999</v>
      </c>
      <c r="O243" s="141">
        <f>+F243-M243</f>
        <v>800887500</v>
      </c>
      <c r="P243" s="77"/>
      <c r="Q243" s="6" t="str">
        <f t="shared" ref="Q243" si="132">IF(M243&lt;=I243,"OKE","Salah")</f>
        <v>OKE</v>
      </c>
      <c r="R243" s="6"/>
    </row>
    <row r="244" spans="1:19" ht="15.95" customHeight="1" x14ac:dyDescent="0.2">
      <c r="A244" s="74"/>
      <c r="B244" s="29"/>
      <c r="C244" s="8"/>
      <c r="D244" s="326"/>
      <c r="E244" s="326"/>
      <c r="F244" s="326"/>
      <c r="G244" s="80"/>
      <c r="H244" s="79"/>
      <c r="I244" s="15"/>
      <c r="J244" s="143"/>
      <c r="K244" s="80"/>
      <c r="L244" s="80"/>
      <c r="M244" s="80"/>
      <c r="N244" s="171"/>
      <c r="O244" s="15"/>
      <c r="P244" s="77"/>
      <c r="Q244" s="6"/>
      <c r="R244" s="6"/>
    </row>
    <row r="245" spans="1:19" ht="15.95" customHeight="1" x14ac:dyDescent="0.2">
      <c r="A245" s="7"/>
      <c r="B245" s="206" t="s">
        <v>183</v>
      </c>
      <c r="C245" s="289" t="s">
        <v>182</v>
      </c>
      <c r="D245" s="10">
        <f>+D247+D249</f>
        <v>2300000000</v>
      </c>
      <c r="E245" s="10">
        <f t="shared" ref="E245:F245" si="133">+E247+E249</f>
        <v>0</v>
      </c>
      <c r="F245" s="10">
        <f t="shared" si="133"/>
        <v>2300000000</v>
      </c>
      <c r="G245" s="10">
        <f t="shared" ref="G245:H245" si="134">+G251</f>
        <v>113184566</v>
      </c>
      <c r="H245" s="11">
        <f t="shared" si="134"/>
        <v>241606713</v>
      </c>
      <c r="I245" s="10">
        <f>+G245+H245</f>
        <v>354791279</v>
      </c>
      <c r="J245" s="168">
        <f>+I245/F245</f>
        <v>0.15425707782608697</v>
      </c>
      <c r="K245" s="10">
        <f t="shared" ref="K245:L245" si="135">+K247+K249</f>
        <v>113184566</v>
      </c>
      <c r="L245" s="10">
        <f t="shared" si="135"/>
        <v>241480308</v>
      </c>
      <c r="M245" s="10">
        <f>+K245+L245</f>
        <v>354664874</v>
      </c>
      <c r="N245" s="169">
        <f>+M245/F245</f>
        <v>0.15420211913043477</v>
      </c>
      <c r="O245" s="10">
        <f>+F245-M245</f>
        <v>1945335126</v>
      </c>
      <c r="P245" s="77"/>
      <c r="Q245" s="6" t="str">
        <f t="shared" ref="Q245:Q308" si="136">IF(M245&lt;=I245,"OKE","Salah")</f>
        <v>OKE</v>
      </c>
      <c r="R245" s="6"/>
    </row>
    <row r="246" spans="1:19" ht="15.95" customHeight="1" x14ac:dyDescent="0.2">
      <c r="A246" s="74"/>
      <c r="B246" s="74"/>
      <c r="C246" s="76"/>
      <c r="D246" s="15"/>
      <c r="E246" s="15"/>
      <c r="F246" s="15"/>
      <c r="G246" s="80"/>
      <c r="H246" s="79"/>
      <c r="I246" s="80"/>
      <c r="J246" s="86"/>
      <c r="K246" s="80"/>
      <c r="L246" s="76"/>
      <c r="M246" s="76"/>
      <c r="N246" s="86"/>
      <c r="O246" s="10"/>
      <c r="P246" s="77"/>
      <c r="Q246" s="6"/>
      <c r="R246" s="6"/>
    </row>
    <row r="247" spans="1:19" ht="15.95" customHeight="1" x14ac:dyDescent="0.2">
      <c r="A247" s="74">
        <v>12</v>
      </c>
      <c r="B247" s="207" t="s">
        <v>185</v>
      </c>
      <c r="C247" s="457" t="s">
        <v>184</v>
      </c>
      <c r="D247" s="326">
        <v>2100000000</v>
      </c>
      <c r="E247" s="329"/>
      <c r="F247" s="326">
        <f>+D247+E247</f>
        <v>2100000000</v>
      </c>
      <c r="G247" s="80">
        <f>+peb!I247</f>
        <v>95779066</v>
      </c>
      <c r="H247" s="79">
        <f>84225200+126480513</f>
        <v>210705713</v>
      </c>
      <c r="I247" s="15">
        <f>+G247+H247</f>
        <v>306484779</v>
      </c>
      <c r="J247" s="143">
        <f>+I247/F247</f>
        <v>0.14594513285714286</v>
      </c>
      <c r="K247" s="80">
        <f>+peb!M247</f>
        <v>95779066</v>
      </c>
      <c r="L247" s="80">
        <f>84225200+126354108</f>
        <v>210579308</v>
      </c>
      <c r="M247" s="80">
        <f>+K247+L247</f>
        <v>306358374</v>
      </c>
      <c r="N247" s="171">
        <f>+M247/F247</f>
        <v>0.14588493999999999</v>
      </c>
      <c r="O247" s="15">
        <f>+F247-M247</f>
        <v>1793641626</v>
      </c>
      <c r="P247" s="179"/>
      <c r="Q247" s="6" t="str">
        <f t="shared" si="136"/>
        <v>OKE</v>
      </c>
      <c r="R247" s="6"/>
    </row>
    <row r="248" spans="1:19" ht="15.95" customHeight="1" x14ac:dyDescent="0.2">
      <c r="A248" s="74"/>
      <c r="B248" s="29"/>
      <c r="C248" s="457"/>
      <c r="D248" s="326"/>
      <c r="E248" s="329"/>
      <c r="F248" s="326"/>
      <c r="G248" s="78"/>
      <c r="H248" s="79"/>
      <c r="I248" s="15"/>
      <c r="J248" s="143"/>
      <c r="K248" s="80"/>
      <c r="L248" s="80"/>
      <c r="M248" s="80"/>
      <c r="N248" s="171"/>
      <c r="O248" s="15"/>
      <c r="P248" s="77"/>
      <c r="Q248" s="6"/>
      <c r="R248" s="6"/>
    </row>
    <row r="249" spans="1:19" ht="15.95" customHeight="1" x14ac:dyDescent="0.2">
      <c r="A249" s="74">
        <v>13</v>
      </c>
      <c r="B249" s="207" t="s">
        <v>186</v>
      </c>
      <c r="C249" s="276" t="s">
        <v>187</v>
      </c>
      <c r="D249" s="338">
        <v>200000000</v>
      </c>
      <c r="E249" s="329"/>
      <c r="F249" s="326">
        <f>+D249+E249</f>
        <v>200000000</v>
      </c>
      <c r="G249" s="80">
        <f>+peb!I249</f>
        <v>17405500</v>
      </c>
      <c r="H249" s="79">
        <f>30225000+676000</f>
        <v>30901000</v>
      </c>
      <c r="I249" s="15">
        <f>+G249+H249</f>
        <v>48306500</v>
      </c>
      <c r="J249" s="143">
        <f>+I249/F249</f>
        <v>0.24153250000000001</v>
      </c>
      <c r="K249" s="80">
        <f>+peb!M249</f>
        <v>17405500</v>
      </c>
      <c r="L249" s="80">
        <f>30225000+676000</f>
        <v>30901000</v>
      </c>
      <c r="M249" s="80">
        <f>+K249+L249</f>
        <v>48306500</v>
      </c>
      <c r="N249" s="171">
        <f>+M249/F249</f>
        <v>0.24153250000000001</v>
      </c>
      <c r="O249" s="15">
        <f>+F249-M249</f>
        <v>151693500</v>
      </c>
      <c r="P249" s="179"/>
      <c r="Q249" s="6" t="str">
        <f t="shared" ref="Q249" si="137">IF(M249&lt;=I249,"OKE","Salah")</f>
        <v>OKE</v>
      </c>
      <c r="R249" s="6"/>
    </row>
    <row r="250" spans="1:19" ht="15.95" customHeight="1" x14ac:dyDescent="0.2">
      <c r="A250" s="74"/>
      <c r="B250" s="74"/>
      <c r="C250" s="76"/>
      <c r="D250" s="15"/>
      <c r="E250" s="15"/>
      <c r="F250" s="15"/>
      <c r="G250" s="80"/>
      <c r="H250" s="79"/>
      <c r="I250" s="80"/>
      <c r="J250" s="86"/>
      <c r="K250" s="80"/>
      <c r="L250" s="76"/>
      <c r="M250" s="76"/>
      <c r="N250" s="86"/>
      <c r="O250" s="10"/>
      <c r="P250" s="77"/>
      <c r="Q250" s="6"/>
      <c r="R250" s="6"/>
    </row>
    <row r="251" spans="1:19" ht="18" customHeight="1" x14ac:dyDescent="0.2">
      <c r="A251" s="139"/>
      <c r="B251" s="139"/>
      <c r="C251" s="140" t="s">
        <v>113</v>
      </c>
      <c r="D251" s="141">
        <f>SUM(D247:D249)</f>
        <v>2300000000</v>
      </c>
      <c r="E251" s="141">
        <f t="shared" ref="E251" si="138">SUM(E247:E249)</f>
        <v>0</v>
      </c>
      <c r="F251" s="141">
        <f>+D251+E251</f>
        <v>2300000000</v>
      </c>
      <c r="G251" s="141">
        <f>SUM(G247:G249)</f>
        <v>113184566</v>
      </c>
      <c r="H251" s="141">
        <f>SUM(H247:H249)</f>
        <v>241606713</v>
      </c>
      <c r="I251" s="141">
        <f>+G251+H251</f>
        <v>354791279</v>
      </c>
      <c r="J251" s="176">
        <f>+I251/F251</f>
        <v>0.15425707782608697</v>
      </c>
      <c r="K251" s="141">
        <f t="shared" ref="K251:L251" si="139">SUM(K247:K249)</f>
        <v>113184566</v>
      </c>
      <c r="L251" s="141">
        <f t="shared" si="139"/>
        <v>241480308</v>
      </c>
      <c r="M251" s="141">
        <f>+M247</f>
        <v>306358374</v>
      </c>
      <c r="N251" s="173">
        <f>+M251/F251</f>
        <v>0.13319929304347827</v>
      </c>
      <c r="O251" s="141">
        <f>+D251-M251</f>
        <v>1993641626</v>
      </c>
      <c r="P251" s="77"/>
      <c r="Q251" s="6" t="str">
        <f t="shared" si="136"/>
        <v>OKE</v>
      </c>
      <c r="R251" s="6"/>
    </row>
    <row r="252" spans="1:19" ht="8.25" customHeight="1" x14ac:dyDescent="0.2">
      <c r="A252" s="74"/>
      <c r="B252" s="74"/>
      <c r="C252" s="9"/>
      <c r="D252" s="10"/>
      <c r="E252" s="10"/>
      <c r="F252" s="10"/>
      <c r="G252" s="10"/>
      <c r="H252" s="10"/>
      <c r="I252" s="10"/>
      <c r="J252" s="168"/>
      <c r="K252" s="10"/>
      <c r="L252" s="10"/>
      <c r="M252" s="10"/>
      <c r="N252" s="169"/>
      <c r="O252" s="10"/>
      <c r="P252" s="77"/>
      <c r="Q252" s="6"/>
      <c r="R252" s="6"/>
    </row>
    <row r="253" spans="1:19" ht="15.95" customHeight="1" x14ac:dyDescent="0.2">
      <c r="A253" s="74"/>
      <c r="B253" s="74"/>
      <c r="C253" s="9"/>
      <c r="D253" s="10"/>
      <c r="E253" s="10"/>
      <c r="F253" s="10"/>
      <c r="G253" s="10"/>
      <c r="H253" s="11"/>
      <c r="I253" s="10"/>
      <c r="J253" s="176"/>
      <c r="K253" s="10"/>
      <c r="L253" s="10"/>
      <c r="M253" s="10"/>
      <c r="N253" s="169"/>
      <c r="O253" s="10"/>
      <c r="P253" s="77"/>
      <c r="Q253" s="6"/>
      <c r="R253" s="6"/>
      <c r="S253" s="190">
        <f>+S463+S467</f>
        <v>2473053315</v>
      </c>
    </row>
    <row r="254" spans="1:19" ht="15.75" customHeight="1" x14ac:dyDescent="0.2">
      <c r="A254" s="388"/>
      <c r="B254" s="388"/>
      <c r="C254" s="395" t="s">
        <v>76</v>
      </c>
      <c r="D254" s="364">
        <f>+D205+D219+D227+D237+D243+D251</f>
        <v>12180425000</v>
      </c>
      <c r="E254" s="364">
        <f>+E219+E227+E237+E251</f>
        <v>0</v>
      </c>
      <c r="F254" s="364">
        <f>+D254+E254</f>
        <v>12180425000</v>
      </c>
      <c r="G254" s="455">
        <f>+G205+G219+G227+G237+G243+G251</f>
        <v>1252965610</v>
      </c>
      <c r="H254" s="364">
        <f>+H205+H219+H227+H237+H243+H251</f>
        <v>1114177859</v>
      </c>
      <c r="I254" s="364">
        <f>+G254+H254</f>
        <v>2367143469</v>
      </c>
      <c r="J254" s="408">
        <f>+I254/F254</f>
        <v>0.19433997327679453</v>
      </c>
      <c r="K254" s="455">
        <f>+K205+K219+K227+K237+K243+K251</f>
        <v>1252255704</v>
      </c>
      <c r="L254" s="364">
        <f>+L205+L219+L227+L237+L243+L251</f>
        <v>1114760610</v>
      </c>
      <c r="M254" s="364">
        <f>+K254+L254</f>
        <v>2367016314</v>
      </c>
      <c r="N254" s="366">
        <f>+M254/F254</f>
        <v>0.1943295339858831</v>
      </c>
      <c r="O254" s="364">
        <f>+F254-M254</f>
        <v>9813408686</v>
      </c>
      <c r="P254" s="77"/>
      <c r="Q254" s="6" t="str">
        <f t="shared" si="136"/>
        <v>OKE</v>
      </c>
      <c r="R254" s="6"/>
    </row>
    <row r="255" spans="1:19" ht="15" thickBot="1" x14ac:dyDescent="0.25">
      <c r="A255" s="389"/>
      <c r="B255" s="389"/>
      <c r="C255" s="396"/>
      <c r="D255" s="396"/>
      <c r="E255" s="396"/>
      <c r="F255" s="396"/>
      <c r="G255" s="456"/>
      <c r="H255" s="396"/>
      <c r="I255" s="396"/>
      <c r="J255" s="409"/>
      <c r="K255" s="456"/>
      <c r="L255" s="396"/>
      <c r="M255" s="396"/>
      <c r="N255" s="367"/>
      <c r="O255" s="396"/>
      <c r="P255" s="83"/>
      <c r="Q255" s="6" t="str">
        <f t="shared" si="136"/>
        <v>OKE</v>
      </c>
      <c r="R255" s="6"/>
      <c r="S255" s="309">
        <f>+S461-4415611498</f>
        <v>1626056849</v>
      </c>
    </row>
    <row r="256" spans="1:19" ht="15" hidden="1" thickBot="1" x14ac:dyDescent="0.25">
      <c r="B256" s="88"/>
      <c r="C256" s="77"/>
      <c r="D256" s="31"/>
      <c r="E256" s="31"/>
      <c r="F256" s="31"/>
      <c r="G256" s="179"/>
      <c r="H256" s="258"/>
      <c r="I256" s="179"/>
      <c r="J256" s="179"/>
      <c r="K256" s="179"/>
      <c r="L256" s="77"/>
      <c r="M256" s="77"/>
      <c r="N256" s="77"/>
      <c r="O256" s="77"/>
      <c r="P256" s="77"/>
      <c r="Q256" s="6" t="str">
        <f t="shared" si="136"/>
        <v>OKE</v>
      </c>
      <c r="R256" s="6"/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6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6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6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6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6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6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6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6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6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6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36"/>
        <v>OKE</v>
      </c>
      <c r="R267" s="6"/>
    </row>
    <row r="268" spans="1:18" ht="14.1" hidden="1" customHeight="1" x14ac:dyDescent="0.2">
      <c r="A268" s="410" t="s">
        <v>0</v>
      </c>
      <c r="B268" s="410"/>
      <c r="C268" s="410"/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77"/>
      <c r="Q268" s="6" t="str">
        <f t="shared" si="136"/>
        <v>OKE</v>
      </c>
      <c r="R268" s="6"/>
    </row>
    <row r="269" spans="1:18" ht="14.1" hidden="1" customHeight="1" x14ac:dyDescent="0.2">
      <c r="A269" s="410" t="s">
        <v>130</v>
      </c>
      <c r="B269" s="410"/>
      <c r="C269" s="410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77"/>
      <c r="Q269" s="6" t="str">
        <f t="shared" si="136"/>
        <v>OKE</v>
      </c>
      <c r="R269" s="6"/>
    </row>
    <row r="270" spans="1:18" ht="14.1" hidden="1" customHeight="1" x14ac:dyDescent="0.2">
      <c r="A270" s="407" t="s">
        <v>131</v>
      </c>
      <c r="B270" s="407"/>
      <c r="C270" s="407"/>
      <c r="D270" s="407"/>
      <c r="E270" s="407"/>
      <c r="F270" s="407"/>
      <c r="G270" s="407"/>
      <c r="H270" s="407"/>
      <c r="I270" s="407"/>
      <c r="J270" s="407"/>
      <c r="K270" s="407"/>
      <c r="L270" s="407"/>
      <c r="M270" s="407"/>
      <c r="N270" s="407"/>
      <c r="O270" s="407"/>
      <c r="P270" s="77"/>
      <c r="Q270" s="6" t="str">
        <f t="shared" si="136"/>
        <v>OKE</v>
      </c>
      <c r="R270" s="6"/>
    </row>
    <row r="271" spans="1:18" ht="14.1" hidden="1" customHeight="1" x14ac:dyDescent="0.2">
      <c r="A271" s="361" t="s">
        <v>2</v>
      </c>
      <c r="B271" s="361" t="s">
        <v>3</v>
      </c>
      <c r="C271" s="361" t="s">
        <v>4</v>
      </c>
      <c r="D271" s="361" t="s">
        <v>5</v>
      </c>
      <c r="E271" s="197"/>
      <c r="F271" s="197"/>
      <c r="G271" s="358" t="s">
        <v>11</v>
      </c>
      <c r="H271" s="359"/>
      <c r="I271" s="359"/>
      <c r="J271" s="360"/>
      <c r="K271" s="358" t="s">
        <v>9</v>
      </c>
      <c r="L271" s="359"/>
      <c r="M271" s="359"/>
      <c r="N271" s="360"/>
      <c r="O271" s="361" t="s">
        <v>10</v>
      </c>
      <c r="P271" s="77"/>
      <c r="Q271" s="6" t="str">
        <f t="shared" si="136"/>
        <v>OKE</v>
      </c>
      <c r="R271" s="6"/>
    </row>
    <row r="272" spans="1:18" ht="14.1" hidden="1" customHeight="1" x14ac:dyDescent="0.2">
      <c r="A272" s="362"/>
      <c r="B272" s="362"/>
      <c r="C272" s="362"/>
      <c r="D272" s="362"/>
      <c r="E272" s="44"/>
      <c r="F272" s="44"/>
      <c r="G272" s="358" t="s">
        <v>74</v>
      </c>
      <c r="H272" s="359"/>
      <c r="I272" s="359"/>
      <c r="J272" s="360"/>
      <c r="K272" s="358" t="s">
        <v>12</v>
      </c>
      <c r="L272" s="359"/>
      <c r="M272" s="359"/>
      <c r="N272" s="360"/>
      <c r="O272" s="362"/>
      <c r="P272" s="77"/>
      <c r="Q272" s="6" t="str">
        <f t="shared" si="136"/>
        <v>OKE</v>
      </c>
      <c r="R272" s="6"/>
    </row>
    <row r="273" spans="1:18" ht="15" hidden="1" thickBot="1" x14ac:dyDescent="0.25">
      <c r="A273" s="363"/>
      <c r="B273" s="363"/>
      <c r="C273" s="363"/>
      <c r="D273" s="363"/>
      <c r="E273" s="196"/>
      <c r="F273" s="196"/>
      <c r="G273" s="144" t="s">
        <v>13</v>
      </c>
      <c r="H273" s="145" t="s">
        <v>14</v>
      </c>
      <c r="I273" s="144" t="s">
        <v>15</v>
      </c>
      <c r="J273" s="144" t="s">
        <v>16</v>
      </c>
      <c r="K273" s="144" t="s">
        <v>13</v>
      </c>
      <c r="L273" s="144" t="s">
        <v>14</v>
      </c>
      <c r="M273" s="144" t="s">
        <v>15</v>
      </c>
      <c r="N273" s="144" t="s">
        <v>16</v>
      </c>
      <c r="O273" s="363"/>
      <c r="P273" s="77"/>
      <c r="Q273" s="6" t="str">
        <f t="shared" si="136"/>
        <v>OKE</v>
      </c>
      <c r="R273" s="6"/>
    </row>
    <row r="274" spans="1:18" ht="15" hidden="1" thickBot="1" x14ac:dyDescent="0.25">
      <c r="A274" s="2">
        <v>1</v>
      </c>
      <c r="B274" s="2">
        <v>2</v>
      </c>
      <c r="C274" s="2">
        <v>3</v>
      </c>
      <c r="D274" s="2">
        <v>4</v>
      </c>
      <c r="E274" s="2"/>
      <c r="F274" s="2"/>
      <c r="G274" s="2">
        <v>5</v>
      </c>
      <c r="H274" s="145">
        <v>6</v>
      </c>
      <c r="I274" s="45" t="s">
        <v>77</v>
      </c>
      <c r="J274" s="45" t="s">
        <v>78</v>
      </c>
      <c r="K274" s="45">
        <v>9</v>
      </c>
      <c r="L274" s="45">
        <v>10</v>
      </c>
      <c r="M274" s="45" t="s">
        <v>79</v>
      </c>
      <c r="N274" s="45" t="s">
        <v>80</v>
      </c>
      <c r="O274" s="45" t="s">
        <v>81</v>
      </c>
      <c r="P274" s="77"/>
      <c r="Q274" s="6" t="str">
        <f t="shared" si="136"/>
        <v>OKE</v>
      </c>
      <c r="R274" s="6"/>
    </row>
    <row r="275" spans="1:18" ht="15" hidden="1" thickBot="1" x14ac:dyDescent="0.25">
      <c r="A275" s="74"/>
      <c r="B275" s="76"/>
      <c r="C275" s="76"/>
      <c r="D275" s="8"/>
      <c r="E275" s="8"/>
      <c r="F275" s="8"/>
      <c r="G275" s="76"/>
      <c r="H275" s="82"/>
      <c r="I275" s="76"/>
      <c r="J275" s="76"/>
      <c r="K275" s="76"/>
      <c r="L275" s="76"/>
      <c r="M275" s="76"/>
      <c r="N275" s="241"/>
      <c r="O275" s="241"/>
      <c r="P275" s="77"/>
      <c r="Q275" s="6" t="str">
        <f t="shared" si="136"/>
        <v>OKE</v>
      </c>
      <c r="R275" s="6"/>
    </row>
    <row r="276" spans="1:18" ht="15" hidden="1" thickBot="1" x14ac:dyDescent="0.25">
      <c r="A276" s="74"/>
      <c r="B276" s="76"/>
      <c r="C276" s="244" t="s">
        <v>82</v>
      </c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76"/>
      <c r="O276" s="76"/>
      <c r="P276" s="77"/>
      <c r="Q276" s="6" t="str">
        <f t="shared" si="136"/>
        <v>OKE</v>
      </c>
      <c r="R276" s="6"/>
    </row>
    <row r="277" spans="1:18" ht="15" hidden="1" thickBot="1" x14ac:dyDescent="0.25">
      <c r="A277" s="74"/>
      <c r="B277" s="76"/>
      <c r="C277" s="76"/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76"/>
      <c r="O277" s="76"/>
      <c r="P277" s="77"/>
      <c r="Q277" s="6" t="str">
        <f t="shared" si="136"/>
        <v>OKE</v>
      </c>
      <c r="R277" s="6"/>
    </row>
    <row r="278" spans="1:18" ht="15" hidden="1" thickBot="1" x14ac:dyDescent="0.25">
      <c r="A278" s="7" t="s">
        <v>22</v>
      </c>
      <c r="B278" s="7" t="s">
        <v>23</v>
      </c>
      <c r="C278" s="9" t="s">
        <v>45</v>
      </c>
      <c r="D278" s="10">
        <f>+D280+D285+D287+D289</f>
        <v>352575000</v>
      </c>
      <c r="E278" s="10"/>
      <c r="F278" s="10"/>
      <c r="G278" s="10">
        <f>+G280+G285+G287+G289</f>
        <v>130595000</v>
      </c>
      <c r="H278" s="11">
        <f>+H280+H285+H287+H289</f>
        <v>200225000</v>
      </c>
      <c r="I278" s="10">
        <f>+G278+H278</f>
        <v>330820000</v>
      </c>
      <c r="J278" s="12">
        <f>+I278/D278</f>
        <v>0.9382968162802241</v>
      </c>
      <c r="K278" s="10">
        <f>+K280+K285+K287+K289</f>
        <v>124051000</v>
      </c>
      <c r="L278" s="10">
        <f>+L280+L285+L287+L289</f>
        <v>199372700</v>
      </c>
      <c r="M278" s="10">
        <f>+K278+L278</f>
        <v>323423700</v>
      </c>
      <c r="N278" s="12">
        <f>+M278/D278</f>
        <v>0.91731886832588816</v>
      </c>
      <c r="O278" s="10">
        <f>+D278-I278</f>
        <v>21755000</v>
      </c>
      <c r="P278" s="77"/>
      <c r="Q278" s="6" t="str">
        <f t="shared" si="136"/>
        <v>OKE</v>
      </c>
      <c r="R278" s="6"/>
    </row>
    <row r="279" spans="1:18" ht="15" hidden="1" thickBot="1" x14ac:dyDescent="0.25">
      <c r="A279" s="74"/>
      <c r="B279" s="74"/>
      <c r="C279" s="76"/>
      <c r="D279" s="15"/>
      <c r="E279" s="15"/>
      <c r="F279" s="15"/>
      <c r="G279" s="80"/>
      <c r="H279" s="79"/>
      <c r="I279" s="80"/>
      <c r="J279" s="80"/>
      <c r="K279" s="80"/>
      <c r="L279" s="76"/>
      <c r="M279" s="76"/>
      <c r="N279" s="76"/>
      <c r="O279" s="76"/>
      <c r="P279" s="77"/>
      <c r="Q279" s="6" t="str">
        <f t="shared" si="136"/>
        <v>OKE</v>
      </c>
      <c r="R279" s="6"/>
    </row>
    <row r="280" spans="1:18" ht="15" hidden="1" thickBot="1" x14ac:dyDescent="0.25">
      <c r="A280" s="74">
        <v>1</v>
      </c>
      <c r="B280" s="75" t="s">
        <v>39</v>
      </c>
      <c r="C280" s="76" t="s">
        <v>50</v>
      </c>
      <c r="D280" s="15">
        <v>255000000</v>
      </c>
      <c r="E280" s="15"/>
      <c r="F280" s="15"/>
      <c r="G280" s="80">
        <v>68220000</v>
      </c>
      <c r="H280" s="79">
        <v>173020000</v>
      </c>
      <c r="I280" s="15">
        <f>+G280+H280</f>
        <v>241240000</v>
      </c>
      <c r="J280" s="16">
        <f>+I280/D280</f>
        <v>0.94603921568627447</v>
      </c>
      <c r="K280" s="80">
        <v>65540000</v>
      </c>
      <c r="L280" s="80">
        <v>174070000</v>
      </c>
      <c r="M280" s="80">
        <f>+K280+L280</f>
        <v>239610000</v>
      </c>
      <c r="N280" s="16">
        <f>+M280/D280</f>
        <v>0.93964705882352939</v>
      </c>
      <c r="O280" s="80">
        <f>+D280-I280</f>
        <v>13760000</v>
      </c>
      <c r="P280" s="77"/>
      <c r="Q280" s="6" t="str">
        <f t="shared" si="136"/>
        <v>OKE</v>
      </c>
      <c r="R280" s="6"/>
    </row>
    <row r="281" spans="1:18" ht="15" hidden="1" thickBot="1" x14ac:dyDescent="0.25">
      <c r="A281" s="74"/>
      <c r="B281" s="75"/>
      <c r="C281" s="76"/>
      <c r="D281" s="15"/>
      <c r="E281" s="15"/>
      <c r="F281" s="15"/>
      <c r="G281" s="80"/>
      <c r="H281" s="79"/>
      <c r="I281" s="15"/>
      <c r="J281" s="16"/>
      <c r="K281" s="80"/>
      <c r="L281" s="80"/>
      <c r="M281" s="80"/>
      <c r="N281" s="16"/>
      <c r="O281" s="80"/>
      <c r="P281" s="77"/>
      <c r="Q281" s="6" t="str">
        <f t="shared" si="136"/>
        <v>OKE</v>
      </c>
      <c r="R281" s="6"/>
    </row>
    <row r="282" spans="1:18" ht="15" hidden="1" thickBot="1" x14ac:dyDescent="0.25">
      <c r="A282" s="74"/>
      <c r="B282" s="18" t="s">
        <v>24</v>
      </c>
      <c r="C282" s="19" t="s">
        <v>25</v>
      </c>
      <c r="D282" s="20">
        <v>44275000</v>
      </c>
      <c r="E282" s="20"/>
      <c r="F282" s="20"/>
      <c r="G282" s="20">
        <v>33022500</v>
      </c>
      <c r="H282" s="21">
        <v>2527500</v>
      </c>
      <c r="I282" s="20">
        <f>+G282+H282</f>
        <v>35550000</v>
      </c>
      <c r="J282" s="22">
        <f>+I282/D282</f>
        <v>0.80293619424054208</v>
      </c>
      <c r="K282" s="20">
        <v>27217500</v>
      </c>
      <c r="L282" s="20">
        <v>0</v>
      </c>
      <c r="M282" s="20">
        <f>+K282+L282</f>
        <v>27217500</v>
      </c>
      <c r="N282" s="22">
        <f>+M282/D282</f>
        <v>0.61473743647656687</v>
      </c>
      <c r="O282" s="20">
        <f>+D282-I282</f>
        <v>8725000</v>
      </c>
      <c r="P282" s="77"/>
      <c r="Q282" s="6" t="str">
        <f t="shared" si="136"/>
        <v>OKE</v>
      </c>
      <c r="R282" s="6"/>
    </row>
    <row r="283" spans="1:18" ht="15" hidden="1" thickBot="1" x14ac:dyDescent="0.25">
      <c r="A283" s="74"/>
      <c r="B283" s="18" t="s">
        <v>24</v>
      </c>
      <c r="C283" s="19" t="s">
        <v>28</v>
      </c>
      <c r="D283" s="20">
        <v>-11700000</v>
      </c>
      <c r="E283" s="20"/>
      <c r="F283" s="20"/>
      <c r="G283" s="20">
        <v>0</v>
      </c>
      <c r="H283" s="21">
        <v>-8825000</v>
      </c>
      <c r="I283" s="20">
        <f>+G283+H283</f>
        <v>-8825000</v>
      </c>
      <c r="J283" s="22"/>
      <c r="K283" s="20"/>
      <c r="L283" s="20">
        <v>-8825000</v>
      </c>
      <c r="M283" s="20">
        <f>+K283+L283</f>
        <v>-8825000</v>
      </c>
      <c r="N283" s="22"/>
      <c r="O283" s="20"/>
      <c r="P283" s="77"/>
      <c r="Q283" s="6" t="str">
        <f t="shared" si="136"/>
        <v>OKE</v>
      </c>
      <c r="R283" s="6"/>
    </row>
    <row r="284" spans="1:18" ht="15" hidden="1" thickBot="1" x14ac:dyDescent="0.25">
      <c r="A284" s="74"/>
      <c r="B284" s="74"/>
      <c r="C284" s="76"/>
      <c r="D284" s="15"/>
      <c r="E284" s="15"/>
      <c r="F284" s="15"/>
      <c r="G284" s="80"/>
      <c r="H284" s="79"/>
      <c r="I284" s="80"/>
      <c r="J284" s="80"/>
      <c r="K284" s="80"/>
      <c r="L284" s="76"/>
      <c r="M284" s="76"/>
      <c r="N284" s="76"/>
      <c r="O284" s="76"/>
      <c r="P284" s="77"/>
      <c r="Q284" s="6" t="str">
        <f t="shared" si="136"/>
        <v>OKE</v>
      </c>
      <c r="R284" s="6"/>
    </row>
    <row r="285" spans="1:18" ht="15" hidden="1" thickBot="1" x14ac:dyDescent="0.25">
      <c r="A285" s="74">
        <v>2</v>
      </c>
      <c r="B285" s="75" t="s">
        <v>24</v>
      </c>
      <c r="C285" s="76" t="s">
        <v>25</v>
      </c>
      <c r="D285" s="15">
        <v>32575000</v>
      </c>
      <c r="E285" s="15"/>
      <c r="F285" s="15"/>
      <c r="G285" s="80">
        <v>26725000</v>
      </c>
      <c r="H285" s="79">
        <v>5055000</v>
      </c>
      <c r="I285" s="15">
        <f>+G285+H285</f>
        <v>31780000</v>
      </c>
      <c r="J285" s="16">
        <f>+I285/D285</f>
        <v>0.97559478127398314</v>
      </c>
      <c r="K285" s="80">
        <v>23622500</v>
      </c>
      <c r="L285" s="80">
        <v>7757500</v>
      </c>
      <c r="M285" s="80">
        <f>+K285+L285</f>
        <v>31380000</v>
      </c>
      <c r="N285" s="16">
        <f>+M285/D285</f>
        <v>0.96331542594013819</v>
      </c>
      <c r="O285" s="80">
        <f>+D285-I285</f>
        <v>795000</v>
      </c>
      <c r="P285" s="77"/>
      <c r="Q285" s="6" t="str">
        <f t="shared" si="136"/>
        <v>OKE</v>
      </c>
      <c r="R285" s="6"/>
    </row>
    <row r="286" spans="1:18" ht="15" hidden="1" thickBot="1" x14ac:dyDescent="0.25">
      <c r="A286" s="74"/>
      <c r="B286" s="74"/>
      <c r="C286" s="76"/>
      <c r="D286" s="15"/>
      <c r="E286" s="15"/>
      <c r="F286" s="15"/>
      <c r="G286" s="80"/>
      <c r="H286" s="79"/>
      <c r="I286" s="80"/>
      <c r="J286" s="80"/>
      <c r="K286" s="80"/>
      <c r="L286" s="330"/>
      <c r="M286" s="76"/>
      <c r="N286" s="76"/>
      <c r="O286" s="76"/>
      <c r="P286" s="77"/>
      <c r="Q286" s="6" t="str">
        <f t="shared" si="136"/>
        <v>OKE</v>
      </c>
      <c r="R286" s="6"/>
    </row>
    <row r="287" spans="1:18" ht="15" hidden="1" thickBot="1" x14ac:dyDescent="0.25">
      <c r="A287" s="74">
        <v>3</v>
      </c>
      <c r="B287" s="75" t="s">
        <v>46</v>
      </c>
      <c r="C287" s="76" t="s">
        <v>47</v>
      </c>
      <c r="D287" s="15">
        <v>25000000</v>
      </c>
      <c r="E287" s="15"/>
      <c r="F287" s="15"/>
      <c r="G287" s="80">
        <v>9400000</v>
      </c>
      <c r="H287" s="79">
        <v>15600000</v>
      </c>
      <c r="I287" s="15">
        <f>+G287+H287</f>
        <v>25000000</v>
      </c>
      <c r="J287" s="16">
        <f>+I287/D287</f>
        <v>1</v>
      </c>
      <c r="K287" s="80">
        <v>9400000</v>
      </c>
      <c r="L287" s="80">
        <v>11703700</v>
      </c>
      <c r="M287" s="80">
        <f>+K287+L287</f>
        <v>21103700</v>
      </c>
      <c r="N287" s="16">
        <f>+M287/D287</f>
        <v>0.84414800000000001</v>
      </c>
      <c r="O287" s="80">
        <f>+D287-I287</f>
        <v>0</v>
      </c>
      <c r="P287" s="77"/>
      <c r="Q287" s="6" t="str">
        <f t="shared" si="136"/>
        <v>OKE</v>
      </c>
      <c r="R287" s="6"/>
    </row>
    <row r="288" spans="1:18" ht="15" hidden="1" thickBot="1" x14ac:dyDescent="0.25">
      <c r="A288" s="74"/>
      <c r="B288" s="74"/>
      <c r="C288" s="76"/>
      <c r="D288" s="15"/>
      <c r="E288" s="15"/>
      <c r="F288" s="15"/>
      <c r="G288" s="80"/>
      <c r="H288" s="79"/>
      <c r="I288" s="80"/>
      <c r="J288" s="80"/>
      <c r="K288" s="80"/>
      <c r="L288" s="76"/>
      <c r="M288" s="76"/>
      <c r="N288" s="76"/>
      <c r="O288" s="76"/>
      <c r="P288" s="77"/>
      <c r="Q288" s="6" t="str">
        <f t="shared" si="136"/>
        <v>OKE</v>
      </c>
      <c r="R288" s="6"/>
    </row>
    <row r="289" spans="1:18" ht="15" hidden="1" thickBot="1" x14ac:dyDescent="0.25">
      <c r="A289" s="74">
        <v>4</v>
      </c>
      <c r="B289" s="75" t="s">
        <v>29</v>
      </c>
      <c r="C289" s="76" t="s">
        <v>30</v>
      </c>
      <c r="D289" s="15">
        <v>40000000</v>
      </c>
      <c r="E289" s="15"/>
      <c r="F289" s="15"/>
      <c r="G289" s="80">
        <v>26250000</v>
      </c>
      <c r="H289" s="79">
        <v>6550000</v>
      </c>
      <c r="I289" s="15">
        <f>+G289+H289</f>
        <v>32800000</v>
      </c>
      <c r="J289" s="16">
        <f>+I289/D289</f>
        <v>0.82</v>
      </c>
      <c r="K289" s="80">
        <v>25488500</v>
      </c>
      <c r="L289" s="80">
        <v>5841500</v>
      </c>
      <c r="M289" s="80">
        <f>+K289+L289</f>
        <v>31330000</v>
      </c>
      <c r="N289" s="16">
        <f>+M289/D289</f>
        <v>0.78325</v>
      </c>
      <c r="O289" s="80">
        <f>+D289-I289</f>
        <v>7200000</v>
      </c>
      <c r="P289" s="77"/>
      <c r="Q289" s="6" t="str">
        <f t="shared" si="136"/>
        <v>OKE</v>
      </c>
      <c r="R289" s="6"/>
    </row>
    <row r="290" spans="1:18" ht="15" hidden="1" thickBot="1" x14ac:dyDescent="0.25">
      <c r="A290" s="74"/>
      <c r="B290" s="74"/>
      <c r="C290" s="76"/>
      <c r="D290" s="15"/>
      <c r="E290" s="15"/>
      <c r="F290" s="15"/>
      <c r="G290" s="80"/>
      <c r="H290" s="79"/>
      <c r="I290" s="80"/>
      <c r="J290" s="80"/>
      <c r="K290" s="80"/>
      <c r="L290" s="76"/>
      <c r="M290" s="76"/>
      <c r="N290" s="76"/>
      <c r="O290" s="76"/>
      <c r="P290" s="77"/>
      <c r="Q290" s="6" t="str">
        <f t="shared" si="136"/>
        <v>OKE</v>
      </c>
      <c r="R290" s="6"/>
    </row>
    <row r="291" spans="1:18" ht="15" hidden="1" thickBot="1" x14ac:dyDescent="0.25">
      <c r="A291" s="74"/>
      <c r="B291" s="74"/>
      <c r="C291" s="9" t="s">
        <v>48</v>
      </c>
      <c r="D291" s="10">
        <f>+D289+D287+D285+D280</f>
        <v>352575000</v>
      </c>
      <c r="E291" s="10"/>
      <c r="F291" s="10"/>
      <c r="G291" s="10">
        <f>+G289+G287+G285+G280</f>
        <v>130595000</v>
      </c>
      <c r="H291" s="11">
        <f>+H289+H287+H285+H280</f>
        <v>200225000</v>
      </c>
      <c r="I291" s="10">
        <f>+G291+H291</f>
        <v>330820000</v>
      </c>
      <c r="J291" s="12">
        <f>+I291/D291</f>
        <v>0.9382968162802241</v>
      </c>
      <c r="K291" s="10">
        <f>+K289+K287+K285+K280</f>
        <v>124051000</v>
      </c>
      <c r="L291" s="10">
        <f>+L289+L287+L285+L280</f>
        <v>199372700</v>
      </c>
      <c r="M291" s="10">
        <f>+K291+L291</f>
        <v>323423700</v>
      </c>
      <c r="N291" s="12">
        <f>+M291/D291</f>
        <v>0.91731886832588816</v>
      </c>
      <c r="O291" s="10">
        <f>+D291-I291</f>
        <v>21755000</v>
      </c>
      <c r="P291" s="77"/>
      <c r="Q291" s="6" t="str">
        <f t="shared" si="136"/>
        <v>OKE</v>
      </c>
      <c r="R291" s="6"/>
    </row>
    <row r="292" spans="1:18" ht="15" hidden="1" thickBot="1" x14ac:dyDescent="0.25">
      <c r="A292" s="85"/>
      <c r="B292" s="85"/>
      <c r="C292" s="34" t="s">
        <v>31</v>
      </c>
      <c r="D292" s="35"/>
      <c r="E292" s="35"/>
      <c r="F292" s="35"/>
      <c r="G292" s="259"/>
      <c r="H292" s="260"/>
      <c r="I292" s="259"/>
      <c r="J292" s="259"/>
      <c r="K292" s="259"/>
      <c r="L292" s="261"/>
      <c r="M292" s="261"/>
      <c r="N292" s="261"/>
      <c r="O292" s="261"/>
      <c r="P292" s="77"/>
      <c r="Q292" s="6" t="str">
        <f t="shared" si="136"/>
        <v>OKE</v>
      </c>
      <c r="R292" s="6"/>
    </row>
    <row r="293" spans="1:18" ht="15" hidden="1" thickBot="1" x14ac:dyDescent="0.25">
      <c r="A293" s="74"/>
      <c r="B293" s="74"/>
      <c r="C293" s="76"/>
      <c r="D293" s="15"/>
      <c r="E293" s="15"/>
      <c r="F293" s="15"/>
      <c r="G293" s="80"/>
      <c r="H293" s="79"/>
      <c r="I293" s="80"/>
      <c r="J293" s="80"/>
      <c r="K293" s="80"/>
      <c r="L293" s="76"/>
      <c r="M293" s="76"/>
      <c r="N293" s="76"/>
      <c r="O293" s="76"/>
      <c r="P293" s="77"/>
      <c r="Q293" s="6" t="str">
        <f t="shared" si="136"/>
        <v>OKE</v>
      </c>
      <c r="R293" s="6"/>
    </row>
    <row r="294" spans="1:18" ht="15" hidden="1" thickBot="1" x14ac:dyDescent="0.25">
      <c r="A294" s="7" t="s">
        <v>32</v>
      </c>
      <c r="B294" s="7" t="s">
        <v>33</v>
      </c>
      <c r="C294" s="9" t="s">
        <v>83</v>
      </c>
      <c r="D294" s="10">
        <f>+D297</f>
        <v>75000000</v>
      </c>
      <c r="E294" s="10"/>
      <c r="F294" s="10"/>
      <c r="G294" s="10">
        <f>+G297</f>
        <v>45335300</v>
      </c>
      <c r="H294" s="11">
        <f>+H297</f>
        <v>26800000</v>
      </c>
      <c r="I294" s="10">
        <f>+G294+H294</f>
        <v>72135300</v>
      </c>
      <c r="J294" s="12">
        <f>+I294/D294</f>
        <v>0.96180399999999999</v>
      </c>
      <c r="K294" s="10">
        <f>+K297</f>
        <v>43643800</v>
      </c>
      <c r="L294" s="10">
        <f>+L297</f>
        <v>24769900</v>
      </c>
      <c r="M294" s="10">
        <f>+K294+L294</f>
        <v>68413700</v>
      </c>
      <c r="N294" s="12">
        <f>+M294/D294</f>
        <v>0.9121826666666667</v>
      </c>
      <c r="O294" s="10">
        <f>+D294-I294</f>
        <v>2864700</v>
      </c>
      <c r="P294" s="77"/>
      <c r="Q294" s="6" t="str">
        <f t="shared" si="136"/>
        <v>OKE</v>
      </c>
      <c r="R294" s="6"/>
    </row>
    <row r="295" spans="1:18" ht="15" hidden="1" thickBot="1" x14ac:dyDescent="0.25">
      <c r="A295" s="74"/>
      <c r="B295" s="74"/>
      <c r="C295" s="9" t="s">
        <v>49</v>
      </c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36"/>
        <v>OKE</v>
      </c>
      <c r="R295" s="6"/>
    </row>
    <row r="296" spans="1:18" ht="15" hidden="1" thickBot="1" x14ac:dyDescent="0.25">
      <c r="A296" s="74"/>
      <c r="B296" s="74"/>
      <c r="C296" s="76"/>
      <c r="D296" s="15"/>
      <c r="E296" s="15"/>
      <c r="F296" s="15"/>
      <c r="G296" s="80"/>
      <c r="H296" s="79"/>
      <c r="I296" s="80"/>
      <c r="J296" s="80"/>
      <c r="K296" s="80"/>
      <c r="L296" s="76"/>
      <c r="M296" s="76"/>
      <c r="N296" s="76"/>
      <c r="O296" s="76"/>
      <c r="P296" s="77"/>
      <c r="Q296" s="6" t="str">
        <f t="shared" si="136"/>
        <v>OKE</v>
      </c>
      <c r="R296" s="6"/>
    </row>
    <row r="297" spans="1:18" ht="15" hidden="1" thickBot="1" x14ac:dyDescent="0.25">
      <c r="A297" s="74">
        <v>5</v>
      </c>
      <c r="B297" s="75" t="s">
        <v>34</v>
      </c>
      <c r="C297" s="8" t="s">
        <v>35</v>
      </c>
      <c r="D297" s="15">
        <v>75000000</v>
      </c>
      <c r="E297" s="15"/>
      <c r="F297" s="15"/>
      <c r="G297" s="80">
        <v>45335300</v>
      </c>
      <c r="H297" s="79">
        <v>26800000</v>
      </c>
      <c r="I297" s="15">
        <f>+G297+H297</f>
        <v>72135300</v>
      </c>
      <c r="J297" s="16">
        <f>+I297/D297</f>
        <v>0.96180399999999999</v>
      </c>
      <c r="K297" s="80">
        <v>43643800</v>
      </c>
      <c r="L297" s="80">
        <v>24769900</v>
      </c>
      <c r="M297" s="80">
        <f>+K297+L297</f>
        <v>68413700</v>
      </c>
      <c r="N297" s="16">
        <f>+M297/D297</f>
        <v>0.9121826666666667</v>
      </c>
      <c r="O297" s="80">
        <f>+D297-I297</f>
        <v>2864700</v>
      </c>
      <c r="P297" s="77"/>
      <c r="Q297" s="6" t="str">
        <f t="shared" si="136"/>
        <v>OKE</v>
      </c>
      <c r="R297" s="6"/>
    </row>
    <row r="298" spans="1:18" ht="15" hidden="1" thickBot="1" x14ac:dyDescent="0.25">
      <c r="A298" s="74"/>
      <c r="B298" s="74"/>
      <c r="C298" s="76"/>
      <c r="D298" s="15"/>
      <c r="E298" s="15"/>
      <c r="F298" s="15"/>
      <c r="G298" s="80"/>
      <c r="H298" s="79"/>
      <c r="I298" s="80"/>
      <c r="J298" s="80"/>
      <c r="K298" s="80"/>
      <c r="L298" s="76"/>
      <c r="M298" s="76"/>
      <c r="N298" s="76"/>
      <c r="O298" s="76"/>
      <c r="P298" s="77"/>
      <c r="Q298" s="6" t="str">
        <f t="shared" si="136"/>
        <v>OKE</v>
      </c>
      <c r="R298" s="6"/>
    </row>
    <row r="299" spans="1:18" ht="15" hidden="1" thickBot="1" x14ac:dyDescent="0.25">
      <c r="A299" s="74"/>
      <c r="B299" s="74"/>
      <c r="C299" s="9" t="s">
        <v>65</v>
      </c>
      <c r="D299" s="10">
        <f>+D297</f>
        <v>75000000</v>
      </c>
      <c r="E299" s="10"/>
      <c r="F299" s="10"/>
      <c r="G299" s="10">
        <f>+G297</f>
        <v>45335300</v>
      </c>
      <c r="H299" s="11">
        <f>+H297</f>
        <v>26800000</v>
      </c>
      <c r="I299" s="10">
        <f>+G299+H299</f>
        <v>72135300</v>
      </c>
      <c r="J299" s="12">
        <f>+I299/D299</f>
        <v>0.96180399999999999</v>
      </c>
      <c r="K299" s="10">
        <f>+K297</f>
        <v>43643800</v>
      </c>
      <c r="L299" s="10">
        <f>+L297</f>
        <v>24769900</v>
      </c>
      <c r="M299" s="10">
        <f>+K299+L299</f>
        <v>68413700</v>
      </c>
      <c r="N299" s="12">
        <f>+M299/D299</f>
        <v>0.9121826666666667</v>
      </c>
      <c r="O299" s="10">
        <f>+D299-I299</f>
        <v>2864700</v>
      </c>
      <c r="P299" s="77"/>
      <c r="Q299" s="6" t="str">
        <f t="shared" si="136"/>
        <v>OKE</v>
      </c>
      <c r="R299" s="6"/>
    </row>
    <row r="300" spans="1:18" ht="15" hidden="1" thickBot="1" x14ac:dyDescent="0.25">
      <c r="A300" s="81"/>
      <c r="B300" s="81"/>
      <c r="C300" s="23" t="s">
        <v>66</v>
      </c>
      <c r="D300" s="32"/>
      <c r="E300" s="32"/>
      <c r="F300" s="32"/>
      <c r="G300" s="252"/>
      <c r="H300" s="253"/>
      <c r="I300" s="252"/>
      <c r="J300" s="252"/>
      <c r="K300" s="252"/>
      <c r="L300" s="251"/>
      <c r="M300" s="251"/>
      <c r="N300" s="251"/>
      <c r="O300" s="251"/>
      <c r="P300" s="77"/>
      <c r="Q300" s="6" t="str">
        <f t="shared" si="136"/>
        <v>OKE</v>
      </c>
      <c r="R300" s="6"/>
    </row>
    <row r="301" spans="1:18" ht="15" hidden="1" thickBot="1" x14ac:dyDescent="0.25">
      <c r="B301" s="88"/>
      <c r="C301" s="77"/>
      <c r="D301" s="31"/>
      <c r="E301" s="31"/>
      <c r="F301" s="31"/>
      <c r="G301" s="179"/>
      <c r="H301" s="258"/>
      <c r="I301" s="179"/>
      <c r="J301" s="179"/>
      <c r="K301" s="179"/>
      <c r="L301" s="77"/>
      <c r="M301" s="77"/>
      <c r="N301" s="77"/>
      <c r="O301" s="77"/>
      <c r="P301" s="77"/>
      <c r="Q301" s="6" t="str">
        <f t="shared" si="136"/>
        <v>OKE</v>
      </c>
      <c r="R301" s="6"/>
    </row>
    <row r="302" spans="1:18" ht="15" hidden="1" thickBot="1" x14ac:dyDescent="0.25"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6"/>
        <v>OKE</v>
      </c>
      <c r="R302" s="6"/>
    </row>
    <row r="303" spans="1:18" ht="15" hidden="1" thickBot="1" x14ac:dyDescent="0.25">
      <c r="A303" s="77"/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6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6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6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6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6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36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ref="Q309:Q372" si="140">IF(M309&lt;=I309,"OKE","Salah")</f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40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0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0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0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0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0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0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0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0"/>
        <v>OKE</v>
      </c>
      <c r="R318" s="6"/>
    </row>
    <row r="319" spans="1:18" ht="15" hidden="1" thickBot="1" x14ac:dyDescent="0.25"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0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0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0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0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0"/>
        <v>OKE</v>
      </c>
      <c r="R323" s="6"/>
    </row>
    <row r="324" spans="1:18" ht="15" hidden="1" thickBot="1" x14ac:dyDescent="0.25">
      <c r="A324" s="407"/>
      <c r="B324" s="407"/>
      <c r="C324" s="407"/>
      <c r="D324" s="407"/>
      <c r="E324" s="407"/>
      <c r="F324" s="407"/>
      <c r="G324" s="407"/>
      <c r="H324" s="407"/>
      <c r="I324" s="407"/>
      <c r="J324" s="407"/>
      <c r="K324" s="407"/>
      <c r="L324" s="407"/>
      <c r="M324" s="407"/>
      <c r="N324" s="407"/>
      <c r="O324" s="407"/>
      <c r="P324" s="77"/>
      <c r="Q324" s="6" t="str">
        <f t="shared" si="140"/>
        <v>OKE</v>
      </c>
      <c r="R324" s="6"/>
    </row>
    <row r="325" spans="1:18" ht="14.1" hidden="1" customHeight="1" x14ac:dyDescent="0.2">
      <c r="A325" s="361" t="s">
        <v>2</v>
      </c>
      <c r="B325" s="361" t="s">
        <v>3</v>
      </c>
      <c r="C325" s="361" t="s">
        <v>4</v>
      </c>
      <c r="D325" s="361" t="s">
        <v>5</v>
      </c>
      <c r="E325" s="197"/>
      <c r="F325" s="197"/>
      <c r="G325" s="358" t="s">
        <v>11</v>
      </c>
      <c r="H325" s="359"/>
      <c r="I325" s="359"/>
      <c r="J325" s="360"/>
      <c r="K325" s="358" t="s">
        <v>9</v>
      </c>
      <c r="L325" s="359"/>
      <c r="M325" s="359"/>
      <c r="N325" s="360"/>
      <c r="O325" s="361" t="s">
        <v>10</v>
      </c>
      <c r="P325" s="77"/>
      <c r="Q325" s="6" t="str">
        <f t="shared" si="140"/>
        <v>OKE</v>
      </c>
      <c r="R325" s="6"/>
    </row>
    <row r="326" spans="1:18" ht="14.1" hidden="1" customHeight="1" x14ac:dyDescent="0.2">
      <c r="A326" s="362"/>
      <c r="B326" s="362"/>
      <c r="C326" s="362"/>
      <c r="D326" s="362"/>
      <c r="E326" s="44"/>
      <c r="F326" s="44"/>
      <c r="G326" s="358" t="s">
        <v>74</v>
      </c>
      <c r="H326" s="359"/>
      <c r="I326" s="359"/>
      <c r="J326" s="360"/>
      <c r="K326" s="358" t="s">
        <v>12</v>
      </c>
      <c r="L326" s="359"/>
      <c r="M326" s="359"/>
      <c r="N326" s="360"/>
      <c r="O326" s="362"/>
      <c r="P326" s="77"/>
      <c r="Q326" s="6" t="str">
        <f t="shared" si="140"/>
        <v>OKE</v>
      </c>
      <c r="R326" s="6"/>
    </row>
    <row r="327" spans="1:18" ht="15" hidden="1" thickBot="1" x14ac:dyDescent="0.25">
      <c r="A327" s="378"/>
      <c r="B327" s="378"/>
      <c r="C327" s="378"/>
      <c r="D327" s="378"/>
      <c r="E327" s="196"/>
      <c r="F327" s="196"/>
      <c r="G327" s="144" t="s">
        <v>13</v>
      </c>
      <c r="H327" s="145" t="s">
        <v>14</v>
      </c>
      <c r="I327" s="144" t="s">
        <v>15</v>
      </c>
      <c r="J327" s="144" t="s">
        <v>16</v>
      </c>
      <c r="K327" s="144" t="s">
        <v>13</v>
      </c>
      <c r="L327" s="144" t="s">
        <v>14</v>
      </c>
      <c r="M327" s="144" t="s">
        <v>15</v>
      </c>
      <c r="N327" s="144" t="s">
        <v>16</v>
      </c>
      <c r="O327" s="378"/>
      <c r="P327" s="77"/>
      <c r="Q327" s="6" t="str">
        <f t="shared" si="140"/>
        <v>OKE</v>
      </c>
      <c r="R327" s="6"/>
    </row>
    <row r="328" spans="1:18" ht="15" hidden="1" thickBot="1" x14ac:dyDescent="0.25">
      <c r="A328" s="2">
        <v>1</v>
      </c>
      <c r="B328" s="2">
        <v>2</v>
      </c>
      <c r="C328" s="2">
        <v>3</v>
      </c>
      <c r="D328" s="2">
        <v>4</v>
      </c>
      <c r="E328" s="2"/>
      <c r="F328" s="2"/>
      <c r="G328" s="2">
        <v>5</v>
      </c>
      <c r="H328" s="145">
        <v>6</v>
      </c>
      <c r="I328" s="45" t="s">
        <v>77</v>
      </c>
      <c r="J328" s="45" t="s">
        <v>78</v>
      </c>
      <c r="K328" s="45">
        <v>9</v>
      </c>
      <c r="L328" s="45">
        <v>10</v>
      </c>
      <c r="M328" s="45" t="s">
        <v>79</v>
      </c>
      <c r="N328" s="45" t="s">
        <v>80</v>
      </c>
      <c r="O328" s="45" t="s">
        <v>81</v>
      </c>
      <c r="P328" s="77"/>
      <c r="Q328" s="6" t="str">
        <f t="shared" si="140"/>
        <v>OKE</v>
      </c>
      <c r="R328" s="6"/>
    </row>
    <row r="329" spans="1:18" ht="15" hidden="1" thickBot="1" x14ac:dyDescent="0.25">
      <c r="A329" s="74"/>
      <c r="B329" s="76"/>
      <c r="C329" s="76"/>
      <c r="D329" s="8"/>
      <c r="E329" s="8"/>
      <c r="F329" s="8"/>
      <c r="G329" s="76"/>
      <c r="H329" s="82"/>
      <c r="I329" s="76"/>
      <c r="J329" s="76"/>
      <c r="K329" s="76"/>
      <c r="L329" s="76"/>
      <c r="M329" s="76"/>
      <c r="N329" s="241"/>
      <c r="O329" s="241"/>
      <c r="P329" s="77"/>
      <c r="Q329" s="6" t="str">
        <f t="shared" si="140"/>
        <v>OKE</v>
      </c>
      <c r="R329" s="6"/>
    </row>
    <row r="330" spans="1:18" ht="15" hidden="1" thickBot="1" x14ac:dyDescent="0.25">
      <c r="A330" s="74"/>
      <c r="B330" s="76"/>
      <c r="C330" s="244" t="s">
        <v>82</v>
      </c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76"/>
      <c r="O330" s="76"/>
      <c r="P330" s="77"/>
      <c r="Q330" s="6" t="str">
        <f t="shared" si="140"/>
        <v>OKE</v>
      </c>
      <c r="R330" s="6"/>
    </row>
    <row r="331" spans="1:18" ht="15" hidden="1" thickBot="1" x14ac:dyDescent="0.25">
      <c r="A331" s="74"/>
      <c r="B331" s="76"/>
      <c r="C331" s="76"/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76"/>
      <c r="O331" s="76"/>
      <c r="P331" s="77"/>
      <c r="Q331" s="6" t="str">
        <f t="shared" si="140"/>
        <v>OKE</v>
      </c>
      <c r="R331" s="6"/>
    </row>
    <row r="332" spans="1:18" ht="15" hidden="1" thickBot="1" x14ac:dyDescent="0.25">
      <c r="A332" s="7" t="s">
        <v>38</v>
      </c>
      <c r="B332" s="7" t="s">
        <v>75</v>
      </c>
      <c r="C332" s="9" t="s">
        <v>84</v>
      </c>
      <c r="D332" s="10">
        <f>+D335+D338+D340+D342</f>
        <v>253000000</v>
      </c>
      <c r="E332" s="10"/>
      <c r="F332" s="10"/>
      <c r="G332" s="10">
        <f>+G335+G338+G340+G342</f>
        <v>196063600</v>
      </c>
      <c r="H332" s="11">
        <f>+H335+H338+H340+H342</f>
        <v>54435500</v>
      </c>
      <c r="I332" s="10">
        <f>+G332+H332</f>
        <v>250499100</v>
      </c>
      <c r="J332" s="12">
        <f>+I332/D332</f>
        <v>0.99011501976284588</v>
      </c>
      <c r="K332" s="10">
        <f>+K335+K338+K340+K342</f>
        <v>195569100</v>
      </c>
      <c r="L332" s="10">
        <f>+L335+L338+L340+L342</f>
        <v>54908000</v>
      </c>
      <c r="M332" s="10">
        <f>+K332+L332</f>
        <v>250477100</v>
      </c>
      <c r="N332" s="12">
        <f>+M332/D332</f>
        <v>0.9900280632411067</v>
      </c>
      <c r="O332" s="10">
        <f>+D332-I332</f>
        <v>2500900</v>
      </c>
      <c r="P332" s="77"/>
      <c r="Q332" s="6" t="str">
        <f t="shared" si="140"/>
        <v>OKE</v>
      </c>
      <c r="R332" s="6"/>
    </row>
    <row r="333" spans="1:18" ht="15" hidden="1" thickBot="1" x14ac:dyDescent="0.25">
      <c r="A333" s="74"/>
      <c r="B333" s="74"/>
      <c r="C333" s="9" t="s">
        <v>85</v>
      </c>
      <c r="D333" s="15"/>
      <c r="E333" s="15"/>
      <c r="F333" s="15"/>
      <c r="G333" s="80"/>
      <c r="H333" s="79"/>
      <c r="I333" s="80"/>
      <c r="J333" s="80"/>
      <c r="K333" s="80"/>
      <c r="L333" s="76"/>
      <c r="M333" s="76"/>
      <c r="N333" s="76"/>
      <c r="O333" s="76"/>
      <c r="P333" s="77"/>
      <c r="Q333" s="6" t="str">
        <f t="shared" si="140"/>
        <v>OKE</v>
      </c>
      <c r="R333" s="6"/>
    </row>
    <row r="334" spans="1:18" ht="15" hidden="1" thickBot="1" x14ac:dyDescent="0.25">
      <c r="A334" s="74"/>
      <c r="B334" s="74"/>
      <c r="C334" s="76"/>
      <c r="D334" s="15"/>
      <c r="E334" s="15"/>
      <c r="F334" s="15"/>
      <c r="G334" s="80"/>
      <c r="H334" s="79"/>
      <c r="I334" s="80"/>
      <c r="J334" s="80"/>
      <c r="K334" s="80"/>
      <c r="L334" s="76"/>
      <c r="M334" s="76"/>
      <c r="N334" s="76"/>
      <c r="O334" s="76"/>
      <c r="P334" s="77"/>
      <c r="Q334" s="6" t="str">
        <f t="shared" si="140"/>
        <v>OKE</v>
      </c>
      <c r="R334" s="6"/>
    </row>
    <row r="335" spans="1:18" ht="15" hidden="1" thickBot="1" x14ac:dyDescent="0.25">
      <c r="A335" s="74">
        <v>6</v>
      </c>
      <c r="B335" s="75" t="s">
        <v>39</v>
      </c>
      <c r="C335" s="8" t="s">
        <v>86</v>
      </c>
      <c r="D335" s="15">
        <v>38000000</v>
      </c>
      <c r="E335" s="15"/>
      <c r="F335" s="15"/>
      <c r="G335" s="80">
        <v>37612500</v>
      </c>
      <c r="H335" s="79">
        <v>0</v>
      </c>
      <c r="I335" s="15">
        <f>+G335+H335</f>
        <v>37612500</v>
      </c>
      <c r="J335" s="16">
        <f>+I335/D335</f>
        <v>0.98980263157894732</v>
      </c>
      <c r="K335" s="80">
        <v>37612500</v>
      </c>
      <c r="L335" s="80">
        <v>0</v>
      </c>
      <c r="M335" s="80">
        <f>+K335+L335</f>
        <v>37612500</v>
      </c>
      <c r="N335" s="16">
        <f>+M335/D335</f>
        <v>0.98980263157894732</v>
      </c>
      <c r="O335" s="80">
        <f>+D335-I335</f>
        <v>387500</v>
      </c>
      <c r="P335" s="77"/>
      <c r="Q335" s="6" t="str">
        <f t="shared" si="140"/>
        <v>OKE</v>
      </c>
      <c r="R335" s="6"/>
    </row>
    <row r="336" spans="1:18" ht="15" hidden="1" thickBot="1" x14ac:dyDescent="0.25">
      <c r="A336" s="74"/>
      <c r="B336" s="74"/>
      <c r="C336" s="8" t="s">
        <v>52</v>
      </c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40"/>
        <v>OKE</v>
      </c>
      <c r="R336" s="6"/>
    </row>
    <row r="337" spans="1:18" ht="15" hidden="1" thickBot="1" x14ac:dyDescent="0.25">
      <c r="A337" s="74"/>
      <c r="B337" s="74"/>
      <c r="C337" s="8"/>
      <c r="D337" s="15"/>
      <c r="E337" s="15"/>
      <c r="F337" s="15"/>
      <c r="G337" s="80"/>
      <c r="H337" s="79"/>
      <c r="I337" s="80"/>
      <c r="J337" s="80"/>
      <c r="K337" s="80"/>
      <c r="L337" s="76"/>
      <c r="M337" s="76"/>
      <c r="N337" s="76"/>
      <c r="O337" s="76"/>
      <c r="P337" s="77"/>
      <c r="Q337" s="6" t="str">
        <f t="shared" si="140"/>
        <v>OKE</v>
      </c>
      <c r="R337" s="6"/>
    </row>
    <row r="338" spans="1:18" ht="15" hidden="1" thickBot="1" x14ac:dyDescent="0.25">
      <c r="A338" s="74">
        <v>7</v>
      </c>
      <c r="B338" s="75" t="s">
        <v>42</v>
      </c>
      <c r="C338" s="8" t="s">
        <v>53</v>
      </c>
      <c r="D338" s="15">
        <v>60000000</v>
      </c>
      <c r="E338" s="15"/>
      <c r="F338" s="15"/>
      <c r="G338" s="80">
        <v>59091100</v>
      </c>
      <c r="H338" s="79">
        <v>0</v>
      </c>
      <c r="I338" s="15">
        <f>+G338+H338</f>
        <v>59091100</v>
      </c>
      <c r="J338" s="16">
        <f>+I338/D338</f>
        <v>0.98485166666666668</v>
      </c>
      <c r="K338" s="80">
        <v>59091100</v>
      </c>
      <c r="L338" s="80">
        <v>0</v>
      </c>
      <c r="M338" s="80">
        <f>+K338+L338</f>
        <v>59091100</v>
      </c>
      <c r="N338" s="16">
        <f>+M338/D338</f>
        <v>0.98485166666666668</v>
      </c>
      <c r="O338" s="80">
        <f>+D338-I338</f>
        <v>908900</v>
      </c>
      <c r="P338" s="77"/>
      <c r="Q338" s="6" t="str">
        <f t="shared" si="140"/>
        <v>OKE</v>
      </c>
      <c r="R338" s="6"/>
    </row>
    <row r="339" spans="1:18" ht="15" hidden="1" thickBot="1" x14ac:dyDescent="0.25">
      <c r="A339" s="74"/>
      <c r="B339" s="74"/>
      <c r="C339" s="8"/>
      <c r="D339" s="15"/>
      <c r="E339" s="15"/>
      <c r="F339" s="15"/>
      <c r="G339" s="80"/>
      <c r="H339" s="79"/>
      <c r="I339" s="80"/>
      <c r="J339" s="80"/>
      <c r="K339" s="80"/>
      <c r="L339" s="76"/>
      <c r="M339" s="76"/>
      <c r="N339" s="76"/>
      <c r="O339" s="76"/>
      <c r="P339" s="77"/>
      <c r="Q339" s="6" t="str">
        <f t="shared" si="140"/>
        <v>OKE</v>
      </c>
      <c r="R339" s="6"/>
    </row>
    <row r="340" spans="1:18" ht="15" hidden="1" thickBot="1" x14ac:dyDescent="0.25">
      <c r="A340" s="74">
        <v>8</v>
      </c>
      <c r="B340" s="75" t="s">
        <v>24</v>
      </c>
      <c r="C340" s="8" t="s">
        <v>87</v>
      </c>
      <c r="D340" s="15">
        <v>65000000</v>
      </c>
      <c r="E340" s="15"/>
      <c r="F340" s="15"/>
      <c r="G340" s="80">
        <v>38340000</v>
      </c>
      <c r="H340" s="79">
        <v>25460000</v>
      </c>
      <c r="I340" s="15">
        <f>+G340+H340</f>
        <v>63800000</v>
      </c>
      <c r="J340" s="16">
        <f>+I340/D340</f>
        <v>0.98153846153846158</v>
      </c>
      <c r="K340" s="80">
        <v>37852500</v>
      </c>
      <c r="L340" s="80">
        <v>25932500</v>
      </c>
      <c r="M340" s="80">
        <f>+K340+L340</f>
        <v>63785000</v>
      </c>
      <c r="N340" s="16">
        <f>+M340/D340</f>
        <v>0.98130769230769233</v>
      </c>
      <c r="O340" s="80">
        <f>+D340-I340</f>
        <v>1200000</v>
      </c>
      <c r="P340" s="77"/>
      <c r="Q340" s="6" t="str">
        <f t="shared" si="140"/>
        <v>OKE</v>
      </c>
      <c r="R340" s="6"/>
    </row>
    <row r="341" spans="1:18" ht="15" hidden="1" thickBot="1" x14ac:dyDescent="0.25">
      <c r="A341" s="74"/>
      <c r="B341" s="76"/>
      <c r="C341" s="76"/>
      <c r="D341" s="8"/>
      <c r="E341" s="8"/>
      <c r="F341" s="8"/>
      <c r="G341" s="76"/>
      <c r="H341" s="82"/>
      <c r="I341" s="76"/>
      <c r="J341" s="76"/>
      <c r="K341" s="46"/>
      <c r="L341" s="76"/>
      <c r="M341" s="76"/>
      <c r="N341" s="76"/>
      <c r="O341" s="76"/>
      <c r="P341" s="77"/>
      <c r="Q341" s="6" t="str">
        <f t="shared" si="140"/>
        <v>OKE</v>
      </c>
      <c r="R341" s="6"/>
    </row>
    <row r="342" spans="1:18" ht="15" hidden="1" thickBot="1" x14ac:dyDescent="0.25">
      <c r="A342" s="74">
        <v>9</v>
      </c>
      <c r="B342" s="75" t="s">
        <v>40</v>
      </c>
      <c r="C342" s="76" t="s">
        <v>88</v>
      </c>
      <c r="D342" s="47">
        <v>90000000</v>
      </c>
      <c r="E342" s="47"/>
      <c r="F342" s="47"/>
      <c r="G342" s="80">
        <v>61020000</v>
      </c>
      <c r="H342" s="79">
        <v>28975500</v>
      </c>
      <c r="I342" s="15">
        <f>+G342+H342</f>
        <v>89995500</v>
      </c>
      <c r="J342" s="16">
        <f>+I342/D342</f>
        <v>0.99995000000000001</v>
      </c>
      <c r="K342" s="80">
        <v>61013000</v>
      </c>
      <c r="L342" s="80">
        <v>28975500</v>
      </c>
      <c r="M342" s="80">
        <f>+K342+L342</f>
        <v>89988500</v>
      </c>
      <c r="N342" s="48">
        <v>0.99980000000000002</v>
      </c>
      <c r="O342" s="80">
        <f>+D342-I342</f>
        <v>4500</v>
      </c>
      <c r="P342" s="77"/>
      <c r="Q342" s="6" t="str">
        <f t="shared" si="140"/>
        <v>OKE</v>
      </c>
      <c r="R342" s="6"/>
    </row>
    <row r="343" spans="1:18" ht="15" hidden="1" thickBot="1" x14ac:dyDescent="0.25">
      <c r="A343" s="74"/>
      <c r="B343" s="76"/>
      <c r="C343" s="76"/>
      <c r="D343" s="8"/>
      <c r="E343" s="8"/>
      <c r="F343" s="8"/>
      <c r="G343" s="76"/>
      <c r="H343" s="82"/>
      <c r="I343" s="76"/>
      <c r="J343" s="76"/>
      <c r="K343" s="76"/>
      <c r="L343" s="76"/>
      <c r="M343" s="76"/>
      <c r="N343" s="76"/>
      <c r="O343" s="76"/>
      <c r="P343" s="77"/>
      <c r="Q343" s="6" t="str">
        <f t="shared" si="140"/>
        <v>OKE</v>
      </c>
      <c r="R343" s="6"/>
    </row>
    <row r="344" spans="1:18" ht="15" hidden="1" thickBot="1" x14ac:dyDescent="0.25">
      <c r="A344" s="74"/>
      <c r="B344" s="76"/>
      <c r="C344" s="9" t="s">
        <v>89</v>
      </c>
      <c r="D344" s="10">
        <f>+D342+D340+D338+D335</f>
        <v>253000000</v>
      </c>
      <c r="E344" s="10"/>
      <c r="F344" s="10"/>
      <c r="G344" s="10">
        <f>+G342+G340+G338+G335</f>
        <v>196063600</v>
      </c>
      <c r="H344" s="11">
        <f>+H342+H340+H338+H335</f>
        <v>54435500</v>
      </c>
      <c r="I344" s="10">
        <f>+G344+H344</f>
        <v>250499100</v>
      </c>
      <c r="J344" s="12">
        <f>+I344/D344</f>
        <v>0.99011501976284588</v>
      </c>
      <c r="K344" s="10">
        <f>+K342+K340+K338+K335</f>
        <v>195569100</v>
      </c>
      <c r="L344" s="10">
        <f>+L342+L340+L338+L335</f>
        <v>54908000</v>
      </c>
      <c r="M344" s="10">
        <f>+K344+L344</f>
        <v>250477100</v>
      </c>
      <c r="N344" s="12">
        <f>+M344/D344</f>
        <v>0.9900280632411067</v>
      </c>
      <c r="O344" s="10">
        <f>+D344-I344</f>
        <v>2500900</v>
      </c>
      <c r="P344" s="77"/>
      <c r="Q344" s="6" t="str">
        <f t="shared" si="140"/>
        <v>OKE</v>
      </c>
      <c r="R344" s="6"/>
    </row>
    <row r="345" spans="1:18" ht="15" hidden="1" thickBot="1" x14ac:dyDescent="0.25">
      <c r="A345" s="85"/>
      <c r="B345" s="261"/>
      <c r="C345" s="34" t="s">
        <v>90</v>
      </c>
      <c r="D345" s="49"/>
      <c r="E345" s="49"/>
      <c r="F345" s="49"/>
      <c r="G345" s="261"/>
      <c r="H345" s="262"/>
      <c r="I345" s="261"/>
      <c r="J345" s="261"/>
      <c r="K345" s="261"/>
      <c r="L345" s="261"/>
      <c r="M345" s="261"/>
      <c r="N345" s="261"/>
      <c r="O345" s="261"/>
      <c r="P345" s="77"/>
      <c r="Q345" s="6" t="str">
        <f t="shared" si="140"/>
        <v>OKE</v>
      </c>
      <c r="R345" s="6"/>
    </row>
    <row r="346" spans="1:18" ht="15" hidden="1" thickBot="1" x14ac:dyDescent="0.25">
      <c r="A346" s="74"/>
      <c r="B346" s="76"/>
      <c r="C346" s="76"/>
      <c r="D346" s="8"/>
      <c r="E346" s="8"/>
      <c r="F346" s="8"/>
      <c r="G346" s="76"/>
      <c r="H346" s="82"/>
      <c r="I346" s="76"/>
      <c r="J346" s="76"/>
      <c r="K346" s="76"/>
      <c r="L346" s="76"/>
      <c r="M346" s="76"/>
      <c r="N346" s="76"/>
      <c r="O346" s="76"/>
      <c r="P346" s="50"/>
      <c r="Q346" s="6" t="str">
        <f t="shared" si="140"/>
        <v>OKE</v>
      </c>
      <c r="R346" s="6"/>
    </row>
    <row r="347" spans="1:18" ht="15" hidden="1" thickBot="1" x14ac:dyDescent="0.25">
      <c r="A347" s="7" t="s">
        <v>41</v>
      </c>
      <c r="B347" s="7" t="s">
        <v>54</v>
      </c>
      <c r="C347" s="9" t="s">
        <v>91</v>
      </c>
      <c r="D347" s="10">
        <f>+D350</f>
        <v>105000000</v>
      </c>
      <c r="E347" s="10"/>
      <c r="F347" s="10"/>
      <c r="G347" s="10">
        <f>+G350</f>
        <v>105000000</v>
      </c>
      <c r="H347" s="11">
        <f>+H350</f>
        <v>0</v>
      </c>
      <c r="I347" s="10">
        <f>+G347+H347</f>
        <v>105000000</v>
      </c>
      <c r="J347" s="12">
        <f>+I347/D347</f>
        <v>1</v>
      </c>
      <c r="K347" s="10">
        <f>+K350</f>
        <v>104800000</v>
      </c>
      <c r="L347" s="10">
        <f>+L350</f>
        <v>0</v>
      </c>
      <c r="M347" s="10">
        <f>+K347+L347</f>
        <v>104800000</v>
      </c>
      <c r="N347" s="12">
        <f>+M347/D347</f>
        <v>0.99809523809523815</v>
      </c>
      <c r="O347" s="10">
        <f>+D347-I347</f>
        <v>0</v>
      </c>
      <c r="P347" s="5"/>
      <c r="Q347" s="6" t="str">
        <f t="shared" si="140"/>
        <v>OKE</v>
      </c>
      <c r="R347" s="6"/>
    </row>
    <row r="348" spans="1:18" ht="15" hidden="1" thickBot="1" x14ac:dyDescent="0.25">
      <c r="A348" s="74"/>
      <c r="B348" s="76"/>
      <c r="C348" s="9" t="s">
        <v>92</v>
      </c>
      <c r="D348" s="15"/>
      <c r="E348" s="15"/>
      <c r="F348" s="15"/>
      <c r="G348" s="80"/>
      <c r="H348" s="79"/>
      <c r="I348" s="80"/>
      <c r="J348" s="80"/>
      <c r="K348" s="80"/>
      <c r="L348" s="76"/>
      <c r="M348" s="76"/>
      <c r="N348" s="76"/>
      <c r="O348" s="76"/>
      <c r="P348" s="5"/>
      <c r="Q348" s="6" t="str">
        <f t="shared" si="140"/>
        <v>OKE</v>
      </c>
      <c r="R348" s="6"/>
    </row>
    <row r="349" spans="1:18" ht="15" hidden="1" thickBot="1" x14ac:dyDescent="0.25">
      <c r="A349" s="74"/>
      <c r="B349" s="76"/>
      <c r="C349" s="76"/>
      <c r="D349" s="15"/>
      <c r="E349" s="15"/>
      <c r="F349" s="15"/>
      <c r="G349" s="80"/>
      <c r="H349" s="79"/>
      <c r="I349" s="80"/>
      <c r="J349" s="80"/>
      <c r="K349" s="80"/>
      <c r="L349" s="76"/>
      <c r="M349" s="76"/>
      <c r="N349" s="76"/>
      <c r="O349" s="76"/>
      <c r="P349" s="5"/>
      <c r="Q349" s="6" t="str">
        <f t="shared" si="140"/>
        <v>OKE</v>
      </c>
      <c r="R349" s="6"/>
    </row>
    <row r="350" spans="1:18" ht="15" hidden="1" thickBot="1" x14ac:dyDescent="0.25">
      <c r="A350" s="74">
        <v>10</v>
      </c>
      <c r="B350" s="75" t="s">
        <v>43</v>
      </c>
      <c r="C350" s="8" t="s">
        <v>93</v>
      </c>
      <c r="D350" s="15">
        <v>105000000</v>
      </c>
      <c r="E350" s="15"/>
      <c r="F350" s="15"/>
      <c r="G350" s="80">
        <v>105000000</v>
      </c>
      <c r="H350" s="79">
        <v>0</v>
      </c>
      <c r="I350" s="15">
        <f>+G350+H350</f>
        <v>105000000</v>
      </c>
      <c r="J350" s="16">
        <f>+I350/D350</f>
        <v>1</v>
      </c>
      <c r="K350" s="80">
        <v>104800000</v>
      </c>
      <c r="L350" s="80">
        <v>0</v>
      </c>
      <c r="M350" s="80">
        <f>+K350+L350</f>
        <v>104800000</v>
      </c>
      <c r="N350" s="16">
        <f>+M350/D350</f>
        <v>0.99809523809523815</v>
      </c>
      <c r="O350" s="80">
        <f>+D350-I350</f>
        <v>0</v>
      </c>
      <c r="P350" s="5"/>
      <c r="Q350" s="6" t="str">
        <f t="shared" si="140"/>
        <v>OKE</v>
      </c>
      <c r="R350" s="6"/>
    </row>
    <row r="351" spans="1:18" ht="15" hidden="1" thickBot="1" x14ac:dyDescent="0.25">
      <c r="A351" s="74"/>
      <c r="B351" s="74"/>
      <c r="C351" s="76"/>
      <c r="D351" s="15"/>
      <c r="E351" s="15"/>
      <c r="F351" s="15"/>
      <c r="G351" s="80"/>
      <c r="H351" s="79"/>
      <c r="I351" s="80"/>
      <c r="J351" s="80"/>
      <c r="K351" s="80"/>
      <c r="L351" s="76"/>
      <c r="M351" s="76"/>
      <c r="N351" s="76"/>
      <c r="O351" s="76"/>
      <c r="P351" s="5"/>
      <c r="Q351" s="6" t="str">
        <f t="shared" si="140"/>
        <v>OKE</v>
      </c>
      <c r="R351" s="6"/>
    </row>
    <row r="352" spans="1:18" ht="15" hidden="1" thickBot="1" x14ac:dyDescent="0.25">
      <c r="A352" s="74"/>
      <c r="B352" s="74"/>
      <c r="C352" s="9" t="s">
        <v>94</v>
      </c>
      <c r="D352" s="10">
        <f>+D350</f>
        <v>105000000</v>
      </c>
      <c r="E352" s="10"/>
      <c r="F352" s="10"/>
      <c r="G352" s="10">
        <f>+G350</f>
        <v>105000000</v>
      </c>
      <c r="H352" s="11">
        <f>+H350</f>
        <v>0</v>
      </c>
      <c r="I352" s="10">
        <f>+G352+H352</f>
        <v>105000000</v>
      </c>
      <c r="J352" s="12">
        <f>+I352/D352</f>
        <v>1</v>
      </c>
      <c r="K352" s="10">
        <f>+K350</f>
        <v>104800000</v>
      </c>
      <c r="L352" s="10">
        <f>+L350</f>
        <v>0</v>
      </c>
      <c r="M352" s="10">
        <f>+K352+L352</f>
        <v>104800000</v>
      </c>
      <c r="N352" s="12">
        <f>+M352/D352</f>
        <v>0.99809523809523815</v>
      </c>
      <c r="O352" s="10">
        <f>+D352-I352</f>
        <v>0</v>
      </c>
      <c r="P352" s="5"/>
      <c r="Q352" s="6" t="str">
        <f t="shared" si="140"/>
        <v>OKE</v>
      </c>
      <c r="R352" s="6"/>
    </row>
    <row r="353" spans="1:18" ht="15" hidden="1" thickBot="1" x14ac:dyDescent="0.25">
      <c r="A353" s="85"/>
      <c r="B353" s="85"/>
      <c r="C353" s="34" t="s">
        <v>55</v>
      </c>
      <c r="D353" s="35"/>
      <c r="E353" s="35"/>
      <c r="F353" s="35"/>
      <c r="G353" s="259"/>
      <c r="H353" s="260"/>
      <c r="I353" s="259"/>
      <c r="J353" s="259"/>
      <c r="K353" s="259"/>
      <c r="L353" s="261"/>
      <c r="M353" s="261"/>
      <c r="N353" s="261"/>
      <c r="O353" s="261"/>
      <c r="P353" s="5"/>
      <c r="Q353" s="6" t="str">
        <f t="shared" si="140"/>
        <v>OKE</v>
      </c>
      <c r="R353" s="6"/>
    </row>
    <row r="354" spans="1:18" ht="15" hidden="1" thickBot="1" x14ac:dyDescent="0.25">
      <c r="A354" s="91"/>
      <c r="B354" s="91"/>
      <c r="C354" s="51"/>
      <c r="D354" s="52"/>
      <c r="E354" s="52"/>
      <c r="F354" s="52"/>
      <c r="G354" s="263"/>
      <c r="H354" s="264"/>
      <c r="I354" s="263"/>
      <c r="J354" s="263"/>
      <c r="K354" s="263"/>
      <c r="L354" s="265"/>
      <c r="M354" s="265"/>
      <c r="N354" s="265"/>
      <c r="O354" s="265"/>
      <c r="P354" s="5"/>
      <c r="Q354" s="6" t="str">
        <f t="shared" si="140"/>
        <v>OKE</v>
      </c>
      <c r="R354" s="6"/>
    </row>
    <row r="355" spans="1:18" ht="15" hidden="1" thickBot="1" x14ac:dyDescent="0.25">
      <c r="A355" s="411" t="s">
        <v>95</v>
      </c>
      <c r="B355" s="411"/>
      <c r="C355" s="413" t="s">
        <v>96</v>
      </c>
      <c r="D355" s="415">
        <f>+D352+D344+D299+D291</f>
        <v>785575000</v>
      </c>
      <c r="E355" s="198"/>
      <c r="F355" s="198"/>
      <c r="G355" s="415">
        <f>+G352+G344+G299+G291</f>
        <v>476993900</v>
      </c>
      <c r="H355" s="417">
        <f>+H352+H344+H299+H291</f>
        <v>281460500</v>
      </c>
      <c r="I355" s="415">
        <f>+G355+H355</f>
        <v>758454400</v>
      </c>
      <c r="J355" s="419">
        <f>+I355/D355</f>
        <v>0.96547675269706901</v>
      </c>
      <c r="K355" s="415">
        <f>+K352+K344+K299+K291</f>
        <v>468063900</v>
      </c>
      <c r="L355" s="415">
        <f>+L352+L344+L299+L291</f>
        <v>279050600</v>
      </c>
      <c r="M355" s="421">
        <f>+K355+L355</f>
        <v>747114500</v>
      </c>
      <c r="N355" s="423">
        <f>+M355/D355</f>
        <v>0.95104159373707153</v>
      </c>
      <c r="O355" s="421">
        <f>+D355-I355</f>
        <v>27120600</v>
      </c>
      <c r="P355" s="5"/>
      <c r="Q355" s="6" t="str">
        <f t="shared" si="140"/>
        <v>OKE</v>
      </c>
      <c r="R355" s="6"/>
    </row>
    <row r="356" spans="1:18" ht="15" hidden="1" thickBot="1" x14ac:dyDescent="0.25">
      <c r="A356" s="412"/>
      <c r="B356" s="412"/>
      <c r="C356" s="414"/>
      <c r="D356" s="416"/>
      <c r="E356" s="199"/>
      <c r="F356" s="199"/>
      <c r="G356" s="416"/>
      <c r="H356" s="418"/>
      <c r="I356" s="416"/>
      <c r="J356" s="420"/>
      <c r="K356" s="416"/>
      <c r="L356" s="416"/>
      <c r="M356" s="422"/>
      <c r="N356" s="424"/>
      <c r="O356" s="422"/>
      <c r="P356" s="5"/>
      <c r="Q356" s="6" t="str">
        <f t="shared" si="140"/>
        <v>OKE</v>
      </c>
      <c r="R356" s="6"/>
    </row>
    <row r="357" spans="1:18" ht="15" hidden="1" thickBot="1" x14ac:dyDescent="0.25">
      <c r="A357" s="90"/>
      <c r="B357" s="90"/>
      <c r="C357" s="37"/>
      <c r="D357" s="37"/>
      <c r="E357" s="37"/>
      <c r="F357" s="37"/>
      <c r="G357" s="90"/>
      <c r="H357" s="266"/>
      <c r="I357" s="90"/>
      <c r="J357" s="90"/>
      <c r="K357" s="90"/>
      <c r="L357" s="342"/>
      <c r="M357" s="90"/>
      <c r="N357" s="90"/>
      <c r="O357" s="90"/>
      <c r="P357" s="5"/>
      <c r="Q357" s="6" t="str">
        <f t="shared" si="140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342"/>
      <c r="M358" s="90"/>
      <c r="N358" s="90"/>
      <c r="O358" s="90"/>
      <c r="P358" s="5"/>
      <c r="Q358" s="6" t="str">
        <f t="shared" si="140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342"/>
      <c r="M359" s="90"/>
      <c r="N359" s="90"/>
      <c r="O359" s="90"/>
      <c r="P359" s="5"/>
      <c r="Q359" s="6" t="str">
        <f t="shared" si="140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342"/>
      <c r="M360" s="90"/>
      <c r="N360" s="90"/>
      <c r="O360" s="90"/>
      <c r="P360" s="5"/>
      <c r="Q360" s="6" t="str">
        <f t="shared" si="140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342"/>
      <c r="M361" s="90"/>
      <c r="N361" s="90"/>
      <c r="O361" s="90"/>
      <c r="P361" s="5"/>
      <c r="Q361" s="6" t="str">
        <f t="shared" si="140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342"/>
      <c r="M362" s="90"/>
      <c r="N362" s="90"/>
      <c r="O362" s="90"/>
      <c r="P362" s="5"/>
      <c r="Q362" s="6" t="str">
        <f t="shared" si="140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342"/>
      <c r="M363" s="90"/>
      <c r="N363" s="90"/>
      <c r="O363" s="90"/>
      <c r="P363" s="5"/>
      <c r="Q363" s="6" t="str">
        <f t="shared" si="140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342"/>
      <c r="M364" s="90"/>
      <c r="N364" s="90"/>
      <c r="O364" s="90"/>
      <c r="P364" s="5"/>
      <c r="Q364" s="6" t="str">
        <f t="shared" si="140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342"/>
      <c r="M365" s="90"/>
      <c r="N365" s="90"/>
      <c r="O365" s="90"/>
      <c r="P365" s="5"/>
      <c r="Q365" s="6" t="str">
        <f t="shared" si="140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342"/>
      <c r="M366" s="90"/>
      <c r="N366" s="90"/>
      <c r="O366" s="90"/>
      <c r="P366" s="5"/>
      <c r="Q366" s="6" t="str">
        <f t="shared" si="140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342"/>
      <c r="M367" s="90"/>
      <c r="N367" s="90"/>
      <c r="O367" s="90"/>
      <c r="P367" s="5"/>
      <c r="Q367" s="6" t="str">
        <f t="shared" si="140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342"/>
      <c r="M368" s="90"/>
      <c r="N368" s="90"/>
      <c r="O368" s="90"/>
      <c r="P368" s="5"/>
      <c r="Q368" s="6" t="str">
        <f t="shared" si="140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342"/>
      <c r="M369" s="90"/>
      <c r="N369" s="90"/>
      <c r="O369" s="90"/>
      <c r="P369" s="5"/>
      <c r="Q369" s="6" t="str">
        <f t="shared" si="140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342"/>
      <c r="M370" s="90"/>
      <c r="N370" s="90"/>
      <c r="O370" s="90"/>
      <c r="P370" s="5"/>
      <c r="Q370" s="6" t="str">
        <f t="shared" si="140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342"/>
      <c r="M371" s="90"/>
      <c r="N371" s="90"/>
      <c r="O371" s="90"/>
      <c r="P371" s="5"/>
      <c r="Q371" s="6" t="str">
        <f t="shared" si="140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342"/>
      <c r="M372" s="90"/>
      <c r="N372" s="90"/>
      <c r="O372" s="90"/>
      <c r="P372" s="5"/>
      <c r="Q372" s="6" t="str">
        <f t="shared" si="140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342"/>
      <c r="M373" s="90"/>
      <c r="N373" s="90"/>
      <c r="O373" s="90"/>
      <c r="P373" s="5"/>
      <c r="Q373" s="6" t="str">
        <f t="shared" ref="Q373:Q436" si="141">IF(M373&lt;=I373,"OKE","Salah")</f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342"/>
      <c r="M374" s="90"/>
      <c r="N374" s="90"/>
      <c r="O374" s="90"/>
      <c r="P374" s="5"/>
      <c r="Q374" s="6" t="str">
        <f t="shared" si="141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342"/>
      <c r="M375" s="90"/>
      <c r="N375" s="90"/>
      <c r="O375" s="90"/>
      <c r="P375" s="5"/>
      <c r="Q375" s="6" t="str">
        <f t="shared" si="141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342"/>
      <c r="M376" s="90"/>
      <c r="N376" s="90"/>
      <c r="O376" s="90"/>
      <c r="P376" s="5"/>
      <c r="Q376" s="6" t="str">
        <f t="shared" si="141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342"/>
      <c r="M377" s="90"/>
      <c r="N377" s="90"/>
      <c r="O377" s="90"/>
      <c r="P377" s="5"/>
      <c r="Q377" s="6" t="str">
        <f t="shared" si="141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342"/>
      <c r="M378" s="90"/>
      <c r="N378" s="90"/>
      <c r="O378" s="90"/>
      <c r="P378" s="5"/>
      <c r="Q378" s="6" t="str">
        <f t="shared" si="141"/>
        <v>OKE</v>
      </c>
      <c r="R378" s="6"/>
    </row>
    <row r="379" spans="1:18" ht="14.1" hidden="1" customHeight="1" x14ac:dyDescent="0.2">
      <c r="A379" s="410" t="s">
        <v>0</v>
      </c>
      <c r="B379" s="410"/>
      <c r="C379" s="410"/>
      <c r="D379" s="410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5"/>
      <c r="Q379" s="6" t="str">
        <f t="shared" si="141"/>
        <v>OKE</v>
      </c>
      <c r="R379" s="6"/>
    </row>
    <row r="380" spans="1:18" ht="14.1" hidden="1" customHeight="1" x14ac:dyDescent="0.2">
      <c r="A380" s="410" t="s">
        <v>1</v>
      </c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5"/>
      <c r="Q380" s="6" t="str">
        <f t="shared" si="141"/>
        <v>OKE</v>
      </c>
      <c r="R380" s="6"/>
    </row>
    <row r="381" spans="1:18" ht="14.1" hidden="1" customHeight="1" x14ac:dyDescent="0.2">
      <c r="A381" s="407" t="s">
        <v>111</v>
      </c>
      <c r="B381" s="407"/>
      <c r="C381" s="407"/>
      <c r="D381" s="407"/>
      <c r="E381" s="407"/>
      <c r="F381" s="407"/>
      <c r="G381" s="407"/>
      <c r="H381" s="407"/>
      <c r="I381" s="407"/>
      <c r="J381" s="407"/>
      <c r="K381" s="407"/>
      <c r="L381" s="407"/>
      <c r="M381" s="407"/>
      <c r="N381" s="407"/>
      <c r="O381" s="407"/>
      <c r="P381" s="5"/>
      <c r="Q381" s="6" t="str">
        <f t="shared" si="141"/>
        <v>OKE</v>
      </c>
      <c r="R381" s="6"/>
    </row>
    <row r="382" spans="1:18" ht="14.1" hidden="1" customHeight="1" x14ac:dyDescent="0.2">
      <c r="A382" s="361" t="s">
        <v>2</v>
      </c>
      <c r="B382" s="361" t="s">
        <v>3</v>
      </c>
      <c r="C382" s="361" t="s">
        <v>4</v>
      </c>
      <c r="D382" s="361" t="s">
        <v>5</v>
      </c>
      <c r="E382" s="197"/>
      <c r="F382" s="197"/>
      <c r="G382" s="358" t="s">
        <v>11</v>
      </c>
      <c r="H382" s="359"/>
      <c r="I382" s="359"/>
      <c r="J382" s="360"/>
      <c r="K382" s="358" t="s">
        <v>9</v>
      </c>
      <c r="L382" s="359"/>
      <c r="M382" s="359"/>
      <c r="N382" s="360"/>
      <c r="O382" s="361" t="s">
        <v>10</v>
      </c>
      <c r="P382" s="5"/>
      <c r="Q382" s="6" t="str">
        <f t="shared" si="141"/>
        <v>OKE</v>
      </c>
      <c r="R382" s="6"/>
    </row>
    <row r="383" spans="1:18" ht="14.1" hidden="1" customHeight="1" x14ac:dyDescent="0.2">
      <c r="A383" s="362"/>
      <c r="B383" s="362"/>
      <c r="C383" s="362"/>
      <c r="D383" s="362"/>
      <c r="E383" s="44"/>
      <c r="F383" s="44"/>
      <c r="G383" s="358" t="s">
        <v>74</v>
      </c>
      <c r="H383" s="359"/>
      <c r="I383" s="359"/>
      <c r="J383" s="360"/>
      <c r="K383" s="358" t="s">
        <v>12</v>
      </c>
      <c r="L383" s="359"/>
      <c r="M383" s="359"/>
      <c r="N383" s="360"/>
      <c r="O383" s="362"/>
      <c r="P383" s="5"/>
      <c r="Q383" s="6" t="str">
        <f t="shared" si="141"/>
        <v>OKE</v>
      </c>
      <c r="R383" s="6"/>
    </row>
    <row r="384" spans="1:18" ht="15" hidden="1" thickBot="1" x14ac:dyDescent="0.25">
      <c r="A384" s="378"/>
      <c r="B384" s="378"/>
      <c r="C384" s="378"/>
      <c r="D384" s="378"/>
      <c r="E384" s="196"/>
      <c r="F384" s="196"/>
      <c r="G384" s="144" t="s">
        <v>13</v>
      </c>
      <c r="H384" s="145" t="s">
        <v>14</v>
      </c>
      <c r="I384" s="144" t="s">
        <v>15</v>
      </c>
      <c r="J384" s="144" t="s">
        <v>16</v>
      </c>
      <c r="K384" s="144" t="s">
        <v>13</v>
      </c>
      <c r="L384" s="144" t="s">
        <v>14</v>
      </c>
      <c r="M384" s="144" t="s">
        <v>15</v>
      </c>
      <c r="N384" s="144" t="s">
        <v>16</v>
      </c>
      <c r="O384" s="378"/>
      <c r="P384" s="5"/>
      <c r="Q384" s="6" t="str">
        <f t="shared" si="141"/>
        <v>OKE</v>
      </c>
      <c r="R384" s="6"/>
    </row>
    <row r="385" spans="1:18" ht="15" hidden="1" thickBot="1" x14ac:dyDescent="0.25">
      <c r="A385" s="2">
        <v>1</v>
      </c>
      <c r="B385" s="2">
        <v>2</v>
      </c>
      <c r="C385" s="2">
        <v>3</v>
      </c>
      <c r="D385" s="2">
        <v>4</v>
      </c>
      <c r="E385" s="2"/>
      <c r="F385" s="2"/>
      <c r="G385" s="2">
        <v>5</v>
      </c>
      <c r="H385" s="145">
        <v>6</v>
      </c>
      <c r="I385" s="45" t="s">
        <v>77</v>
      </c>
      <c r="J385" s="45" t="s">
        <v>78</v>
      </c>
      <c r="K385" s="45">
        <v>9</v>
      </c>
      <c r="L385" s="45">
        <v>10</v>
      </c>
      <c r="M385" s="45" t="s">
        <v>79</v>
      </c>
      <c r="N385" s="45" t="s">
        <v>80</v>
      </c>
      <c r="O385" s="45" t="s">
        <v>81</v>
      </c>
      <c r="P385" s="5"/>
      <c r="Q385" s="6" t="str">
        <f t="shared" si="141"/>
        <v>OKE</v>
      </c>
      <c r="R385" s="6"/>
    </row>
    <row r="386" spans="1:18" ht="15" hidden="1" thickBot="1" x14ac:dyDescent="0.25">
      <c r="A386" s="74"/>
      <c r="B386" s="76"/>
      <c r="C386" s="76"/>
      <c r="D386" s="8"/>
      <c r="E386" s="8"/>
      <c r="F386" s="8"/>
      <c r="G386" s="76"/>
      <c r="H386" s="82"/>
      <c r="I386" s="76"/>
      <c r="J386" s="76"/>
      <c r="K386" s="76"/>
      <c r="L386" s="76"/>
      <c r="M386" s="76"/>
      <c r="N386" s="241"/>
      <c r="O386" s="241"/>
      <c r="P386" s="5"/>
      <c r="Q386" s="6" t="str">
        <f t="shared" si="141"/>
        <v>OKE</v>
      </c>
      <c r="R386" s="6"/>
    </row>
    <row r="387" spans="1:18" ht="15" hidden="1" thickBot="1" x14ac:dyDescent="0.25">
      <c r="A387" s="74"/>
      <c r="B387" s="76"/>
      <c r="C387" s="244" t="s">
        <v>97</v>
      </c>
      <c r="D387" s="8"/>
      <c r="E387" s="8"/>
      <c r="F387" s="8"/>
      <c r="G387" s="76"/>
      <c r="H387" s="82"/>
      <c r="I387" s="76"/>
      <c r="J387" s="76"/>
      <c r="K387" s="76"/>
      <c r="L387" s="76"/>
      <c r="M387" s="76"/>
      <c r="N387" s="76"/>
      <c r="O387" s="76"/>
      <c r="P387" s="5"/>
      <c r="Q387" s="6" t="str">
        <f t="shared" si="141"/>
        <v>OKE</v>
      </c>
      <c r="R387" s="6"/>
    </row>
    <row r="388" spans="1:18" ht="15" hidden="1" thickBot="1" x14ac:dyDescent="0.25">
      <c r="A388" s="74"/>
      <c r="B388" s="74"/>
      <c r="C388" s="76"/>
      <c r="D388" s="53"/>
      <c r="E388" s="53"/>
      <c r="F388" s="53"/>
      <c r="G388" s="268"/>
      <c r="H388" s="269"/>
      <c r="I388" s="268"/>
      <c r="J388" s="268"/>
      <c r="K388" s="268"/>
      <c r="L388" s="76"/>
      <c r="M388" s="76"/>
      <c r="N388" s="76"/>
      <c r="O388" s="76"/>
      <c r="P388" s="5"/>
      <c r="Q388" s="6" t="str">
        <f t="shared" si="141"/>
        <v>OKE</v>
      </c>
      <c r="R388" s="6"/>
    </row>
    <row r="389" spans="1:18" ht="15" hidden="1" thickBot="1" x14ac:dyDescent="0.25">
      <c r="A389" s="7" t="s">
        <v>22</v>
      </c>
      <c r="B389" s="7" t="s">
        <v>23</v>
      </c>
      <c r="C389" s="9" t="s">
        <v>45</v>
      </c>
      <c r="D389" s="10">
        <f>+D391+D393+D398+D400+D402+D404+D406+D408</f>
        <v>268080000</v>
      </c>
      <c r="E389" s="10"/>
      <c r="F389" s="10"/>
      <c r="G389" s="10">
        <f>+G391+G393+G398+G400+G402+G404+G406+G408</f>
        <v>133763800</v>
      </c>
      <c r="H389" s="11">
        <f>+H391+H393+H398+H400+H402+H404+H406+H408</f>
        <v>8628300</v>
      </c>
      <c r="I389" s="10">
        <f>+G389+H389</f>
        <v>142392100</v>
      </c>
      <c r="J389" s="12">
        <f>+I389/D389</f>
        <v>0.53115525216353332</v>
      </c>
      <c r="K389" s="10">
        <f>+K391+K393+K398+K400+K402+K404+K406+K408</f>
        <v>114241700</v>
      </c>
      <c r="L389" s="10">
        <f>+L391+L393+L398+L400+L402+L404+L406+L408</f>
        <v>26474800</v>
      </c>
      <c r="M389" s="10">
        <f>+K389+L389</f>
        <v>140716500</v>
      </c>
      <c r="N389" s="12">
        <f>+M389/D389</f>
        <v>0.52490487914055506</v>
      </c>
      <c r="O389" s="10">
        <f>+D389-I389</f>
        <v>125687900</v>
      </c>
      <c r="P389" s="5"/>
      <c r="Q389" s="6" t="str">
        <f t="shared" si="141"/>
        <v>OKE</v>
      </c>
      <c r="R389" s="6"/>
    </row>
    <row r="390" spans="1:18" ht="15" hidden="1" thickBot="1" x14ac:dyDescent="0.25">
      <c r="A390" s="74"/>
      <c r="B390" s="74"/>
      <c r="C390" s="76"/>
      <c r="D390" s="53"/>
      <c r="E390" s="53"/>
      <c r="F390" s="53"/>
      <c r="G390" s="268"/>
      <c r="H390" s="269"/>
      <c r="I390" s="268"/>
      <c r="J390" s="268"/>
      <c r="K390" s="268"/>
      <c r="L390" s="76"/>
      <c r="M390" s="76"/>
      <c r="N390" s="76"/>
      <c r="O390" s="76"/>
      <c r="P390" s="5"/>
      <c r="Q390" s="6" t="str">
        <f t="shared" si="141"/>
        <v>OKE</v>
      </c>
      <c r="R390" s="6"/>
    </row>
    <row r="391" spans="1:18" ht="15" hidden="1" thickBot="1" x14ac:dyDescent="0.25">
      <c r="A391" s="74">
        <v>1</v>
      </c>
      <c r="B391" s="75" t="s">
        <v>43</v>
      </c>
      <c r="C391" s="76" t="s">
        <v>98</v>
      </c>
      <c r="D391" s="15">
        <v>15000000</v>
      </c>
      <c r="E391" s="15"/>
      <c r="F391" s="15"/>
      <c r="G391" s="80">
        <v>11390500</v>
      </c>
      <c r="H391" s="79">
        <v>1097000</v>
      </c>
      <c r="I391" s="15">
        <f>+G391+H391</f>
        <v>12487500</v>
      </c>
      <c r="J391" s="16">
        <f>+I391/D391</f>
        <v>0.83250000000000002</v>
      </c>
      <c r="K391" s="80">
        <v>8898000</v>
      </c>
      <c r="L391" s="80">
        <v>1952000</v>
      </c>
      <c r="M391" s="80">
        <f>+K391+L391</f>
        <v>10850000</v>
      </c>
      <c r="N391" s="16">
        <f>+M391/D391</f>
        <v>0.72333333333333338</v>
      </c>
      <c r="O391" s="80">
        <f>+D391-I391</f>
        <v>2512500</v>
      </c>
      <c r="P391" s="5"/>
      <c r="Q391" s="6" t="str">
        <f t="shared" si="141"/>
        <v>OKE</v>
      </c>
      <c r="R391" s="6"/>
    </row>
    <row r="392" spans="1:18" ht="15" hidden="1" thickBot="1" x14ac:dyDescent="0.25">
      <c r="A392" s="74"/>
      <c r="B392" s="74"/>
      <c r="C392" s="76"/>
      <c r="D392" s="15"/>
      <c r="E392" s="15"/>
      <c r="F392" s="15"/>
      <c r="G392" s="80"/>
      <c r="H392" s="79"/>
      <c r="I392" s="80"/>
      <c r="J392" s="80"/>
      <c r="K392" s="80"/>
      <c r="L392" s="76"/>
      <c r="M392" s="76"/>
      <c r="N392" s="76"/>
      <c r="O392" s="76"/>
      <c r="P392" s="5"/>
      <c r="Q392" s="6" t="str">
        <f t="shared" si="141"/>
        <v>OKE</v>
      </c>
      <c r="R392" s="6"/>
    </row>
    <row r="393" spans="1:18" ht="15" hidden="1" thickBot="1" x14ac:dyDescent="0.25">
      <c r="A393" s="74">
        <v>2</v>
      </c>
      <c r="B393" s="75" t="s">
        <v>39</v>
      </c>
      <c r="C393" s="76" t="s">
        <v>50</v>
      </c>
      <c r="D393" s="15">
        <v>5000000</v>
      </c>
      <c r="E393" s="15"/>
      <c r="F393" s="15"/>
      <c r="G393" s="80">
        <v>4980000</v>
      </c>
      <c r="H393" s="79">
        <v>0</v>
      </c>
      <c r="I393" s="15">
        <f>+G393+H393</f>
        <v>4980000</v>
      </c>
      <c r="J393" s="16">
        <f>+I393/D393</f>
        <v>0.996</v>
      </c>
      <c r="K393" s="80">
        <v>3320000</v>
      </c>
      <c r="L393" s="80">
        <v>1660000</v>
      </c>
      <c r="M393" s="80">
        <f>+K393+L393</f>
        <v>4980000</v>
      </c>
      <c r="N393" s="16">
        <f>+M393/D393</f>
        <v>0.996</v>
      </c>
      <c r="O393" s="80">
        <f>+D393-I393</f>
        <v>20000</v>
      </c>
      <c r="P393" s="5"/>
      <c r="Q393" s="6" t="str">
        <f t="shared" si="141"/>
        <v>OKE</v>
      </c>
      <c r="R393" s="6"/>
    </row>
    <row r="394" spans="1:18" ht="15" hidden="1" thickBot="1" x14ac:dyDescent="0.25">
      <c r="A394" s="74"/>
      <c r="B394" s="75"/>
      <c r="C394" s="76"/>
      <c r="D394" s="15"/>
      <c r="E394" s="15"/>
      <c r="F394" s="15"/>
      <c r="G394" s="80"/>
      <c r="H394" s="79"/>
      <c r="I394" s="15"/>
      <c r="J394" s="16"/>
      <c r="K394" s="80"/>
      <c r="L394" s="80"/>
      <c r="M394" s="80"/>
      <c r="N394" s="16"/>
      <c r="O394" s="80"/>
      <c r="P394" s="5"/>
      <c r="Q394" s="6" t="str">
        <f t="shared" si="141"/>
        <v>OKE</v>
      </c>
      <c r="R394" s="6"/>
    </row>
    <row r="395" spans="1:18" ht="15" hidden="1" thickBot="1" x14ac:dyDescent="0.25">
      <c r="A395" s="74"/>
      <c r="B395" s="18" t="s">
        <v>24</v>
      </c>
      <c r="C395" s="19" t="s">
        <v>25</v>
      </c>
      <c r="D395" s="20">
        <v>77530000</v>
      </c>
      <c r="E395" s="20"/>
      <c r="F395" s="20"/>
      <c r="G395" s="20">
        <v>37840000</v>
      </c>
      <c r="H395" s="21">
        <v>3330000</v>
      </c>
      <c r="I395" s="20">
        <f>+G395+H395</f>
        <v>41170000</v>
      </c>
      <c r="J395" s="22">
        <f>+I395/D395</f>
        <v>0.53102025022571908</v>
      </c>
      <c r="K395" s="20">
        <v>34735000</v>
      </c>
      <c r="L395" s="20">
        <v>2880000</v>
      </c>
      <c r="M395" s="20">
        <f>+K395+L395</f>
        <v>37615000</v>
      </c>
      <c r="N395" s="22">
        <f>+M395/D395</f>
        <v>0.48516703211660001</v>
      </c>
      <c r="O395" s="20">
        <f>+D395-I395</f>
        <v>36360000</v>
      </c>
      <c r="P395" s="5"/>
      <c r="Q395" s="6" t="str">
        <f t="shared" si="141"/>
        <v>OKE</v>
      </c>
      <c r="R395" s="6"/>
    </row>
    <row r="396" spans="1:18" ht="15" hidden="1" thickBot="1" x14ac:dyDescent="0.25">
      <c r="A396" s="74"/>
      <c r="B396" s="18" t="s">
        <v>24</v>
      </c>
      <c r="C396" s="19" t="s">
        <v>28</v>
      </c>
      <c r="D396" s="20">
        <v>-34450000</v>
      </c>
      <c r="E396" s="20"/>
      <c r="F396" s="20"/>
      <c r="G396" s="20"/>
      <c r="H396" s="21">
        <v>-9800000</v>
      </c>
      <c r="I396" s="20"/>
      <c r="J396" s="22"/>
      <c r="K396" s="20"/>
      <c r="L396" s="20">
        <v>-9800000</v>
      </c>
      <c r="M396" s="20"/>
      <c r="N396" s="22"/>
      <c r="O396" s="20"/>
      <c r="P396" s="5"/>
      <c r="Q396" s="6" t="str">
        <f t="shared" si="141"/>
        <v>OKE</v>
      </c>
      <c r="R396" s="6"/>
    </row>
    <row r="397" spans="1:18" ht="15" hidden="1" thickBot="1" x14ac:dyDescent="0.25">
      <c r="A397" s="74"/>
      <c r="B397" s="74"/>
      <c r="C397" s="76"/>
      <c r="D397" s="15"/>
      <c r="E397" s="15"/>
      <c r="F397" s="15"/>
      <c r="G397" s="80"/>
      <c r="H397" s="79"/>
      <c r="I397" s="15"/>
      <c r="J397" s="16"/>
      <c r="K397" s="80"/>
      <c r="L397" s="76"/>
      <c r="M397" s="80"/>
      <c r="N397" s="16"/>
      <c r="O397" s="80"/>
      <c r="P397" s="5"/>
      <c r="Q397" s="6" t="str">
        <f t="shared" si="141"/>
        <v>OKE</v>
      </c>
      <c r="R397" s="6"/>
    </row>
    <row r="398" spans="1:18" ht="15" hidden="1" thickBot="1" x14ac:dyDescent="0.25">
      <c r="A398" s="74">
        <v>4</v>
      </c>
      <c r="B398" s="75" t="s">
        <v>24</v>
      </c>
      <c r="C398" s="76" t="s">
        <v>25</v>
      </c>
      <c r="D398" s="15">
        <v>43080000</v>
      </c>
      <c r="E398" s="15"/>
      <c r="F398" s="15"/>
      <c r="G398" s="80">
        <v>38030000</v>
      </c>
      <c r="H398" s="79">
        <v>0</v>
      </c>
      <c r="I398" s="15">
        <f>+G398+H398</f>
        <v>38030000</v>
      </c>
      <c r="J398" s="16">
        <f>+I398/D398</f>
        <v>0.88277623026926644</v>
      </c>
      <c r="K398" s="80">
        <v>31370000</v>
      </c>
      <c r="L398" s="80">
        <v>6660000</v>
      </c>
      <c r="M398" s="80">
        <f>+K398+L398</f>
        <v>38030000</v>
      </c>
      <c r="N398" s="16">
        <f>+M398/D398</f>
        <v>0.88277623026926644</v>
      </c>
      <c r="O398" s="80">
        <f>+D398-I398</f>
        <v>5050000</v>
      </c>
      <c r="P398" s="5"/>
      <c r="Q398" s="6" t="str">
        <f t="shared" si="141"/>
        <v>OKE</v>
      </c>
      <c r="R398" s="6"/>
    </row>
    <row r="399" spans="1:18" ht="15" hidden="1" thickBot="1" x14ac:dyDescent="0.25">
      <c r="A399" s="74"/>
      <c r="B399" s="74"/>
      <c r="C399" s="76"/>
      <c r="D399" s="15"/>
      <c r="E399" s="15"/>
      <c r="F399" s="15"/>
      <c r="G399" s="80"/>
      <c r="H399" s="79"/>
      <c r="I399" s="80"/>
      <c r="J399" s="80"/>
      <c r="K399" s="80"/>
      <c r="L399" s="76"/>
      <c r="M399" s="76"/>
      <c r="N399" s="76"/>
      <c r="O399" s="76"/>
      <c r="P399" s="5"/>
      <c r="Q399" s="6" t="str">
        <f t="shared" si="141"/>
        <v>OKE</v>
      </c>
      <c r="R399" s="6"/>
    </row>
    <row r="400" spans="1:18" ht="15" hidden="1" thickBot="1" x14ac:dyDescent="0.25">
      <c r="A400" s="74">
        <v>5</v>
      </c>
      <c r="B400" s="75" t="s">
        <v>46</v>
      </c>
      <c r="C400" s="76" t="s">
        <v>47</v>
      </c>
      <c r="D400" s="15">
        <v>30000000</v>
      </c>
      <c r="E400" s="15"/>
      <c r="F400" s="15"/>
      <c r="G400" s="80">
        <v>15789600</v>
      </c>
      <c r="H400" s="79">
        <v>1434200</v>
      </c>
      <c r="I400" s="15">
        <f>+G400+H400</f>
        <v>17223800</v>
      </c>
      <c r="J400" s="16">
        <f>+I400/D400</f>
        <v>0.57412666666666667</v>
      </c>
      <c r="K400" s="80">
        <v>14316300</v>
      </c>
      <c r="L400" s="80">
        <v>2869400</v>
      </c>
      <c r="M400" s="80">
        <f>+K400+L400</f>
        <v>17185700</v>
      </c>
      <c r="N400" s="16">
        <f>+M400/D400</f>
        <v>0.57285666666666668</v>
      </c>
      <c r="O400" s="80">
        <f>+D400-I400</f>
        <v>12776200</v>
      </c>
      <c r="P400" s="5"/>
      <c r="Q400" s="6" t="str">
        <f t="shared" si="141"/>
        <v>OKE</v>
      </c>
      <c r="R400" s="6"/>
    </row>
    <row r="401" spans="1:18" ht="15" hidden="1" thickBot="1" x14ac:dyDescent="0.25">
      <c r="A401" s="74"/>
      <c r="B401" s="74"/>
      <c r="C401" s="76"/>
      <c r="D401" s="15"/>
      <c r="E401" s="15"/>
      <c r="F401" s="15"/>
      <c r="G401" s="80"/>
      <c r="H401" s="79"/>
      <c r="I401" s="80"/>
      <c r="J401" s="80"/>
      <c r="K401" s="80"/>
      <c r="L401" s="76"/>
      <c r="M401" s="76"/>
      <c r="N401" s="76"/>
      <c r="O401" s="76"/>
      <c r="P401" s="5"/>
      <c r="Q401" s="6" t="str">
        <f t="shared" si="141"/>
        <v>OKE</v>
      </c>
      <c r="R401" s="6"/>
    </row>
    <row r="402" spans="1:18" ht="15" hidden="1" thickBot="1" x14ac:dyDescent="0.25">
      <c r="A402" s="74">
        <v>6</v>
      </c>
      <c r="B402" s="75" t="s">
        <v>26</v>
      </c>
      <c r="C402" s="76" t="s">
        <v>27</v>
      </c>
      <c r="D402" s="15">
        <v>98400000</v>
      </c>
      <c r="E402" s="15"/>
      <c r="F402" s="15"/>
      <c r="G402" s="80">
        <v>27741800</v>
      </c>
      <c r="H402" s="79">
        <v>1373600</v>
      </c>
      <c r="I402" s="15">
        <f>+G402+H402</f>
        <v>29115400</v>
      </c>
      <c r="J402" s="16">
        <f>+I402/D402</f>
        <v>0.2958882113821138</v>
      </c>
      <c r="K402" s="80">
        <v>26392700</v>
      </c>
      <c r="L402" s="80">
        <v>2722700</v>
      </c>
      <c r="M402" s="80">
        <f>+K402+L402</f>
        <v>29115400</v>
      </c>
      <c r="N402" s="16">
        <f>+M402/D402</f>
        <v>0.2958882113821138</v>
      </c>
      <c r="O402" s="80">
        <f>+D402-I402</f>
        <v>69284600</v>
      </c>
      <c r="P402" s="5"/>
      <c r="Q402" s="6" t="str">
        <f t="shared" si="141"/>
        <v>OKE</v>
      </c>
      <c r="R402" s="6"/>
    </row>
    <row r="403" spans="1:18" ht="15" hidden="1" thickBot="1" x14ac:dyDescent="0.25">
      <c r="A403" s="74"/>
      <c r="B403" s="75"/>
      <c r="C403" s="76"/>
      <c r="D403" s="15"/>
      <c r="E403" s="15"/>
      <c r="F403" s="15"/>
      <c r="G403" s="80"/>
      <c r="H403" s="79"/>
      <c r="I403" s="10"/>
      <c r="J403" s="16"/>
      <c r="K403" s="80"/>
      <c r="L403" s="330"/>
      <c r="M403" s="80"/>
      <c r="N403" s="16"/>
      <c r="O403" s="80"/>
      <c r="P403" s="5"/>
      <c r="Q403" s="6" t="str">
        <f t="shared" si="141"/>
        <v>OKE</v>
      </c>
      <c r="R403" s="6"/>
    </row>
    <row r="404" spans="1:18" ht="15" hidden="1" thickBot="1" x14ac:dyDescent="0.25">
      <c r="A404" s="74">
        <v>7</v>
      </c>
      <c r="B404" s="75" t="s">
        <v>44</v>
      </c>
      <c r="C404" s="76" t="s">
        <v>57</v>
      </c>
      <c r="D404" s="15">
        <v>5000000</v>
      </c>
      <c r="E404" s="15"/>
      <c r="F404" s="15"/>
      <c r="G404" s="80">
        <v>4999000</v>
      </c>
      <c r="H404" s="79">
        <v>0</v>
      </c>
      <c r="I404" s="15">
        <f>+G404+H404</f>
        <v>4999000</v>
      </c>
      <c r="J404" s="16">
        <v>0.999</v>
      </c>
      <c r="K404" s="80">
        <v>3953500</v>
      </c>
      <c r="L404" s="80">
        <v>1045500</v>
      </c>
      <c r="M404" s="80">
        <f>+K404+L404</f>
        <v>4999000</v>
      </c>
      <c r="N404" s="16">
        <f>+M404/D404</f>
        <v>0.99980000000000002</v>
      </c>
      <c r="O404" s="80">
        <f>+D404-I404</f>
        <v>1000</v>
      </c>
      <c r="P404" s="5"/>
      <c r="Q404" s="6" t="str">
        <f t="shared" si="141"/>
        <v>OKE</v>
      </c>
      <c r="R404" s="6"/>
    </row>
    <row r="405" spans="1:18" ht="15" hidden="1" thickBot="1" x14ac:dyDescent="0.25">
      <c r="A405" s="74"/>
      <c r="B405" s="74"/>
      <c r="C405" s="76"/>
      <c r="D405" s="15"/>
      <c r="E405" s="15"/>
      <c r="F405" s="15"/>
      <c r="G405" s="80"/>
      <c r="H405" s="79"/>
      <c r="I405" s="80"/>
      <c r="J405" s="80"/>
      <c r="K405" s="80"/>
      <c r="L405" s="76"/>
      <c r="M405" s="76"/>
      <c r="N405" s="76"/>
      <c r="O405" s="76"/>
      <c r="P405" s="5"/>
      <c r="Q405" s="6" t="str">
        <f t="shared" si="141"/>
        <v>OKE</v>
      </c>
      <c r="R405" s="6"/>
    </row>
    <row r="406" spans="1:18" ht="15" hidden="1" thickBot="1" x14ac:dyDescent="0.25">
      <c r="A406" s="74">
        <v>8</v>
      </c>
      <c r="B406" s="75" t="s">
        <v>29</v>
      </c>
      <c r="C406" s="76" t="s">
        <v>30</v>
      </c>
      <c r="D406" s="15">
        <v>51600000</v>
      </c>
      <c r="E406" s="15"/>
      <c r="F406" s="15"/>
      <c r="G406" s="80">
        <v>13832900</v>
      </c>
      <c r="H406" s="79">
        <v>1723500</v>
      </c>
      <c r="I406" s="15">
        <f>+G406+H406</f>
        <v>15556400</v>
      </c>
      <c r="J406" s="16">
        <f>+I406/D406</f>
        <v>0.30148062015503874</v>
      </c>
      <c r="K406" s="80">
        <v>12211200</v>
      </c>
      <c r="L406" s="80">
        <v>3345200</v>
      </c>
      <c r="M406" s="80">
        <f>+K406+L406</f>
        <v>15556400</v>
      </c>
      <c r="N406" s="16">
        <f>+M406/D406</f>
        <v>0.30148062015503874</v>
      </c>
      <c r="O406" s="80">
        <f>+D406-I406</f>
        <v>36043600</v>
      </c>
      <c r="P406" s="5"/>
      <c r="Q406" s="6" t="str">
        <f t="shared" si="141"/>
        <v>OKE</v>
      </c>
      <c r="R406" s="6"/>
    </row>
    <row r="407" spans="1:18" ht="15" hidden="1" thickBot="1" x14ac:dyDescent="0.25">
      <c r="A407" s="74"/>
      <c r="B407" s="74"/>
      <c r="C407" s="76"/>
      <c r="D407" s="15"/>
      <c r="E407" s="15"/>
      <c r="F407" s="15"/>
      <c r="G407" s="80"/>
      <c r="H407" s="79"/>
      <c r="I407" s="80"/>
      <c r="J407" s="80"/>
      <c r="K407" s="80"/>
      <c r="L407" s="76"/>
      <c r="M407" s="76"/>
      <c r="N407" s="76"/>
      <c r="O407" s="76"/>
      <c r="P407" s="5"/>
      <c r="Q407" s="6" t="str">
        <f t="shared" si="141"/>
        <v>OKE</v>
      </c>
      <c r="R407" s="6"/>
    </row>
    <row r="408" spans="1:18" ht="15" hidden="1" thickBot="1" x14ac:dyDescent="0.25">
      <c r="A408" s="74">
        <v>9</v>
      </c>
      <c r="B408" s="75" t="s">
        <v>62</v>
      </c>
      <c r="C408" s="76" t="s">
        <v>68</v>
      </c>
      <c r="D408" s="15">
        <v>20000000</v>
      </c>
      <c r="E408" s="15"/>
      <c r="F408" s="15"/>
      <c r="G408" s="80">
        <v>17000000</v>
      </c>
      <c r="H408" s="79">
        <v>3000000</v>
      </c>
      <c r="I408" s="15">
        <f>+G408+H408</f>
        <v>20000000</v>
      </c>
      <c r="J408" s="16">
        <f>+I408/D408</f>
        <v>1</v>
      </c>
      <c r="K408" s="80">
        <v>13780000</v>
      </c>
      <c r="L408" s="80">
        <v>6220000</v>
      </c>
      <c r="M408" s="80">
        <f>+K408+L408</f>
        <v>20000000</v>
      </c>
      <c r="N408" s="16">
        <f>+M408/D408</f>
        <v>1</v>
      </c>
      <c r="O408" s="80">
        <f>+D408-I408</f>
        <v>0</v>
      </c>
      <c r="P408" s="5"/>
      <c r="Q408" s="6" t="str">
        <f t="shared" si="141"/>
        <v>OKE</v>
      </c>
      <c r="R408" s="6"/>
    </row>
    <row r="409" spans="1:18" ht="15" hidden="1" thickBot="1" x14ac:dyDescent="0.25">
      <c r="A409" s="74"/>
      <c r="B409" s="74"/>
      <c r="C409" s="76"/>
      <c r="D409" s="15"/>
      <c r="E409" s="15"/>
      <c r="F409" s="15"/>
      <c r="G409" s="80"/>
      <c r="H409" s="79"/>
      <c r="I409" s="80"/>
      <c r="J409" s="80"/>
      <c r="K409" s="80"/>
      <c r="L409" s="76"/>
      <c r="M409" s="76"/>
      <c r="N409" s="76"/>
      <c r="O409" s="76"/>
      <c r="P409" s="5"/>
      <c r="Q409" s="6" t="str">
        <f t="shared" si="141"/>
        <v>OKE</v>
      </c>
      <c r="R409" s="6"/>
    </row>
    <row r="410" spans="1:18" ht="15" hidden="1" thickBot="1" x14ac:dyDescent="0.25">
      <c r="A410" s="74"/>
      <c r="B410" s="74"/>
      <c r="C410" s="9" t="s">
        <v>48</v>
      </c>
      <c r="D410" s="10">
        <f>+D408+D406+D404+D402+D400+D398+D393+D391</f>
        <v>268080000</v>
      </c>
      <c r="E410" s="10"/>
      <c r="F410" s="10"/>
      <c r="G410" s="10">
        <f>+G408+G406+G404+G402+G400+G398+G393+G391</f>
        <v>133763800</v>
      </c>
      <c r="H410" s="11">
        <f>+H408+H406+H404+H402+H400+H398+H393+H391</f>
        <v>8628300</v>
      </c>
      <c r="I410" s="10">
        <f>+G410+H410</f>
        <v>142392100</v>
      </c>
      <c r="J410" s="12">
        <f>+I410/D410</f>
        <v>0.53115525216353332</v>
      </c>
      <c r="K410" s="10">
        <f>+K408+K406+K404+K402+K400+K398+K393+K391</f>
        <v>114241700</v>
      </c>
      <c r="L410" s="10">
        <f>+L408+L406+L404+L402+L400+L398+L393+L391</f>
        <v>26474800</v>
      </c>
      <c r="M410" s="10">
        <f>+K410+L410</f>
        <v>140716500</v>
      </c>
      <c r="N410" s="12">
        <f>+M410/D410</f>
        <v>0.52490487914055506</v>
      </c>
      <c r="O410" s="10">
        <f>+D410-I410</f>
        <v>125687900</v>
      </c>
      <c r="P410" s="5"/>
      <c r="Q410" s="6" t="str">
        <f t="shared" si="141"/>
        <v>OKE</v>
      </c>
      <c r="R410" s="6"/>
    </row>
    <row r="411" spans="1:18" ht="15" hidden="1" thickBot="1" x14ac:dyDescent="0.25">
      <c r="A411" s="85"/>
      <c r="B411" s="85"/>
      <c r="C411" s="34" t="s">
        <v>31</v>
      </c>
      <c r="D411" s="35"/>
      <c r="E411" s="35"/>
      <c r="F411" s="35"/>
      <c r="G411" s="259"/>
      <c r="H411" s="260"/>
      <c r="I411" s="259"/>
      <c r="J411" s="259"/>
      <c r="K411" s="259"/>
      <c r="L411" s="261"/>
      <c r="M411" s="261"/>
      <c r="N411" s="261"/>
      <c r="O411" s="261"/>
      <c r="P411" s="5"/>
      <c r="Q411" s="6" t="str">
        <f t="shared" si="141"/>
        <v>OKE</v>
      </c>
      <c r="R411" s="6"/>
    </row>
    <row r="412" spans="1:18" ht="15" hidden="1" thickBot="1" x14ac:dyDescent="0.25">
      <c r="A412" s="74"/>
      <c r="B412" s="74"/>
      <c r="C412" s="76"/>
      <c r="D412" s="15"/>
      <c r="E412" s="15"/>
      <c r="F412" s="15"/>
      <c r="G412" s="80"/>
      <c r="H412" s="79"/>
      <c r="I412" s="80"/>
      <c r="J412" s="80"/>
      <c r="K412" s="80"/>
      <c r="L412" s="76"/>
      <c r="M412" s="76"/>
      <c r="N412" s="76"/>
      <c r="O412" s="76"/>
      <c r="P412" s="5"/>
      <c r="Q412" s="6" t="str">
        <f t="shared" si="141"/>
        <v>OKE</v>
      </c>
      <c r="R412" s="6"/>
    </row>
    <row r="413" spans="1:18" ht="15" hidden="1" thickBot="1" x14ac:dyDescent="0.25">
      <c r="A413" s="7" t="s">
        <v>32</v>
      </c>
      <c r="B413" s="7" t="s">
        <v>33</v>
      </c>
      <c r="C413" s="9" t="s">
        <v>64</v>
      </c>
      <c r="D413" s="10">
        <f>+D416</f>
        <v>10000000</v>
      </c>
      <c r="E413" s="10"/>
      <c r="F413" s="10"/>
      <c r="G413" s="10">
        <f>+G416</f>
        <v>8500000</v>
      </c>
      <c r="H413" s="11">
        <f>+H416</f>
        <v>0</v>
      </c>
      <c r="I413" s="10">
        <f>+G413+H413</f>
        <v>8500000</v>
      </c>
      <c r="J413" s="12">
        <f>+I413/D413</f>
        <v>0.85</v>
      </c>
      <c r="K413" s="10">
        <f>+K416</f>
        <v>6435000</v>
      </c>
      <c r="L413" s="10">
        <f>+L416</f>
        <v>2420000</v>
      </c>
      <c r="M413" s="10">
        <f>+K413+L413</f>
        <v>8855000</v>
      </c>
      <c r="N413" s="12">
        <f>+M413/D413</f>
        <v>0.88549999999999995</v>
      </c>
      <c r="O413" s="10">
        <f>+D413-I413</f>
        <v>1500000</v>
      </c>
      <c r="P413" s="5"/>
      <c r="Q413" s="6" t="str">
        <f t="shared" si="141"/>
        <v>Salah</v>
      </c>
      <c r="R413" s="6"/>
    </row>
    <row r="414" spans="1:18" ht="15" hidden="1" thickBot="1" x14ac:dyDescent="0.25">
      <c r="A414" s="74"/>
      <c r="B414" s="74"/>
      <c r="C414" s="9" t="s">
        <v>49</v>
      </c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si="141"/>
        <v>OKE</v>
      </c>
      <c r="R414" s="6"/>
    </row>
    <row r="415" spans="1:18" ht="15" hidden="1" thickBot="1" x14ac:dyDescent="0.25">
      <c r="A415" s="74"/>
      <c r="B415" s="74"/>
      <c r="C415" s="76"/>
      <c r="D415" s="15"/>
      <c r="E415" s="15"/>
      <c r="F415" s="15"/>
      <c r="G415" s="80"/>
      <c r="H415" s="79"/>
      <c r="I415" s="80"/>
      <c r="J415" s="80"/>
      <c r="K415" s="80"/>
      <c r="L415" s="76"/>
      <c r="M415" s="76"/>
      <c r="N415" s="76"/>
      <c r="O415" s="76"/>
      <c r="P415" s="5"/>
      <c r="Q415" s="6" t="str">
        <f t="shared" si="141"/>
        <v>OKE</v>
      </c>
      <c r="R415" s="6"/>
    </row>
    <row r="416" spans="1:18" ht="15" hidden="1" thickBot="1" x14ac:dyDescent="0.25">
      <c r="A416" s="74">
        <v>10</v>
      </c>
      <c r="B416" s="75" t="s">
        <v>61</v>
      </c>
      <c r="C416" s="8" t="s">
        <v>99</v>
      </c>
      <c r="D416" s="15">
        <v>10000000</v>
      </c>
      <c r="E416" s="15"/>
      <c r="F416" s="15"/>
      <c r="G416" s="80">
        <v>8500000</v>
      </c>
      <c r="H416" s="79">
        <v>0</v>
      </c>
      <c r="I416" s="15">
        <f>+G416+H416</f>
        <v>8500000</v>
      </c>
      <c r="J416" s="16">
        <f>+I416/D416</f>
        <v>0.85</v>
      </c>
      <c r="K416" s="80">
        <v>6435000</v>
      </c>
      <c r="L416" s="80">
        <v>2420000</v>
      </c>
      <c r="M416" s="80">
        <f>+K416+L416</f>
        <v>8855000</v>
      </c>
      <c r="N416" s="16">
        <f>+M416/D416</f>
        <v>0.88549999999999995</v>
      </c>
      <c r="O416" s="80">
        <f>+D416-I416</f>
        <v>1500000</v>
      </c>
      <c r="P416" s="5"/>
      <c r="Q416" s="6" t="str">
        <f t="shared" si="141"/>
        <v>Salah</v>
      </c>
      <c r="R416" s="6"/>
    </row>
    <row r="417" spans="1:18" ht="15" hidden="1" thickBot="1" x14ac:dyDescent="0.25">
      <c r="A417" s="74"/>
      <c r="B417" s="74"/>
      <c r="C417" s="76"/>
      <c r="D417" s="15"/>
      <c r="E417" s="15"/>
      <c r="F417" s="15"/>
      <c r="G417" s="80"/>
      <c r="H417" s="79"/>
      <c r="I417" s="80"/>
      <c r="J417" s="80"/>
      <c r="K417" s="80"/>
      <c r="L417" s="76"/>
      <c r="M417" s="76"/>
      <c r="N417" s="76"/>
      <c r="O417" s="76"/>
      <c r="P417" s="5"/>
      <c r="Q417" s="6" t="str">
        <f t="shared" si="141"/>
        <v>OKE</v>
      </c>
      <c r="R417" s="6"/>
    </row>
    <row r="418" spans="1:18" ht="15" hidden="1" thickBot="1" x14ac:dyDescent="0.25">
      <c r="A418" s="74"/>
      <c r="B418" s="74"/>
      <c r="C418" s="9" t="s">
        <v>65</v>
      </c>
      <c r="D418" s="10">
        <f>+D416</f>
        <v>10000000</v>
      </c>
      <c r="E418" s="10"/>
      <c r="F418" s="10"/>
      <c r="G418" s="10">
        <f>+G416</f>
        <v>8500000</v>
      </c>
      <c r="H418" s="11">
        <f>+H416</f>
        <v>0</v>
      </c>
      <c r="I418" s="10">
        <f>+G418+H418</f>
        <v>8500000</v>
      </c>
      <c r="J418" s="12">
        <f>+I418/D418</f>
        <v>0.85</v>
      </c>
      <c r="K418" s="10">
        <f>+K416</f>
        <v>6435000</v>
      </c>
      <c r="L418" s="10">
        <f>+L416</f>
        <v>2420000</v>
      </c>
      <c r="M418" s="10">
        <f>+K418+L418</f>
        <v>8855000</v>
      </c>
      <c r="N418" s="12">
        <f>+M418/D418</f>
        <v>0.88549999999999995</v>
      </c>
      <c r="O418" s="10">
        <f>+D418-I418</f>
        <v>1500000</v>
      </c>
      <c r="P418" s="5"/>
      <c r="Q418" s="6" t="str">
        <f t="shared" si="141"/>
        <v>Salah</v>
      </c>
      <c r="R418" s="6"/>
    </row>
    <row r="419" spans="1:18" ht="15" hidden="1" thickBot="1" x14ac:dyDescent="0.25">
      <c r="A419" s="81"/>
      <c r="B419" s="81"/>
      <c r="C419" s="23" t="s">
        <v>66</v>
      </c>
      <c r="D419" s="32"/>
      <c r="E419" s="32"/>
      <c r="F419" s="32"/>
      <c r="G419" s="252"/>
      <c r="H419" s="253"/>
      <c r="I419" s="252"/>
      <c r="J419" s="252"/>
      <c r="K419" s="252"/>
      <c r="L419" s="251"/>
      <c r="M419" s="251"/>
      <c r="N419" s="251"/>
      <c r="O419" s="251"/>
      <c r="P419" s="5"/>
      <c r="Q419" s="6" t="str">
        <f t="shared" si="141"/>
        <v>OKE</v>
      </c>
      <c r="R419" s="6"/>
    </row>
    <row r="420" spans="1:18" ht="15" hidden="1" thickBot="1" x14ac:dyDescent="0.25">
      <c r="B420" s="88"/>
      <c r="C420" s="26"/>
      <c r="D420" s="31"/>
      <c r="E420" s="31"/>
      <c r="F420" s="31"/>
      <c r="G420" s="179"/>
      <c r="H420" s="258"/>
      <c r="I420" s="179"/>
      <c r="J420" s="179"/>
      <c r="K420" s="179"/>
      <c r="L420" s="77"/>
      <c r="M420" s="77"/>
      <c r="N420" s="77"/>
      <c r="O420" s="77"/>
      <c r="P420" s="5"/>
      <c r="Q420" s="6" t="str">
        <f t="shared" si="141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41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1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1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1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1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1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1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1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1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1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1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1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1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1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1"/>
        <v>OKE</v>
      </c>
      <c r="R435" s="6"/>
    </row>
    <row r="436" spans="1:18" ht="14.1" hidden="1" customHeight="1" x14ac:dyDescent="0.2">
      <c r="A436" s="361" t="s">
        <v>2</v>
      </c>
      <c r="B436" s="361" t="s">
        <v>3</v>
      </c>
      <c r="C436" s="361" t="s">
        <v>4</v>
      </c>
      <c r="D436" s="361" t="s">
        <v>5</v>
      </c>
      <c r="E436" s="197"/>
      <c r="F436" s="197"/>
      <c r="G436" s="358" t="s">
        <v>11</v>
      </c>
      <c r="H436" s="359"/>
      <c r="I436" s="359"/>
      <c r="J436" s="360"/>
      <c r="K436" s="358" t="s">
        <v>9</v>
      </c>
      <c r="L436" s="359"/>
      <c r="M436" s="359"/>
      <c r="N436" s="360"/>
      <c r="O436" s="361" t="s">
        <v>10</v>
      </c>
      <c r="P436" s="5"/>
      <c r="Q436" s="6" t="str">
        <f t="shared" si="141"/>
        <v>OKE</v>
      </c>
      <c r="R436" s="6"/>
    </row>
    <row r="437" spans="1:18" ht="14.1" hidden="1" customHeight="1" x14ac:dyDescent="0.2">
      <c r="A437" s="362"/>
      <c r="B437" s="362"/>
      <c r="C437" s="362"/>
      <c r="D437" s="362"/>
      <c r="E437" s="44"/>
      <c r="F437" s="44"/>
      <c r="G437" s="358" t="s">
        <v>74</v>
      </c>
      <c r="H437" s="359"/>
      <c r="I437" s="359"/>
      <c r="J437" s="360"/>
      <c r="K437" s="358" t="s">
        <v>12</v>
      </c>
      <c r="L437" s="359"/>
      <c r="M437" s="359"/>
      <c r="N437" s="360"/>
      <c r="O437" s="362"/>
      <c r="P437" s="5"/>
      <c r="Q437" s="6" t="str">
        <f t="shared" ref="Q437:Q461" si="142">IF(M437&lt;=I437,"OKE","Salah")</f>
        <v>OKE</v>
      </c>
      <c r="R437" s="6"/>
    </row>
    <row r="438" spans="1:18" ht="14.1" hidden="1" customHeight="1" x14ac:dyDescent="0.2">
      <c r="A438" s="378"/>
      <c r="B438" s="378"/>
      <c r="C438" s="378"/>
      <c r="D438" s="378"/>
      <c r="E438" s="196"/>
      <c r="F438" s="196"/>
      <c r="G438" s="144" t="s">
        <v>13</v>
      </c>
      <c r="H438" s="145" t="s">
        <v>14</v>
      </c>
      <c r="I438" s="144" t="s">
        <v>15</v>
      </c>
      <c r="J438" s="144" t="s">
        <v>16</v>
      </c>
      <c r="K438" s="144" t="s">
        <v>13</v>
      </c>
      <c r="L438" s="144" t="s">
        <v>14</v>
      </c>
      <c r="M438" s="144" t="s">
        <v>15</v>
      </c>
      <c r="N438" s="144" t="s">
        <v>16</v>
      </c>
      <c r="O438" s="378"/>
      <c r="P438" s="5"/>
      <c r="Q438" s="6" t="str">
        <f t="shared" si="142"/>
        <v>OKE</v>
      </c>
      <c r="R438" s="6"/>
    </row>
    <row r="439" spans="1:18" ht="15" hidden="1" thickBot="1" x14ac:dyDescent="0.25">
      <c r="A439" s="2">
        <v>1</v>
      </c>
      <c r="B439" s="2">
        <v>2</v>
      </c>
      <c r="C439" s="2">
        <v>3</v>
      </c>
      <c r="D439" s="2">
        <v>4</v>
      </c>
      <c r="E439" s="2"/>
      <c r="F439" s="2"/>
      <c r="G439" s="2">
        <v>5</v>
      </c>
      <c r="H439" s="145">
        <v>6</v>
      </c>
      <c r="I439" s="45" t="s">
        <v>77</v>
      </c>
      <c r="J439" s="45" t="s">
        <v>78</v>
      </c>
      <c r="K439" s="45">
        <v>9</v>
      </c>
      <c r="L439" s="45">
        <v>10</v>
      </c>
      <c r="M439" s="45" t="s">
        <v>79</v>
      </c>
      <c r="N439" s="45" t="s">
        <v>80</v>
      </c>
      <c r="O439" s="45" t="s">
        <v>81</v>
      </c>
      <c r="P439" s="5"/>
      <c r="Q439" s="6" t="str">
        <f t="shared" si="142"/>
        <v>OKE</v>
      </c>
      <c r="R439" s="6"/>
    </row>
    <row r="440" spans="1:18" ht="15" hidden="1" thickBot="1" x14ac:dyDescent="0.25">
      <c r="A440" s="74"/>
      <c r="B440" s="76"/>
      <c r="C440" s="76"/>
      <c r="D440" s="8"/>
      <c r="E440" s="8"/>
      <c r="F440" s="8"/>
      <c r="G440" s="76"/>
      <c r="H440" s="82"/>
      <c r="I440" s="76"/>
      <c r="J440" s="76"/>
      <c r="K440" s="76"/>
      <c r="L440" s="76"/>
      <c r="M440" s="76"/>
      <c r="N440" s="241"/>
      <c r="O440" s="241"/>
      <c r="P440" s="5"/>
      <c r="Q440" s="6" t="str">
        <f t="shared" si="142"/>
        <v>OKE</v>
      </c>
      <c r="R440" s="6"/>
    </row>
    <row r="441" spans="1:18" ht="15" hidden="1" thickBot="1" x14ac:dyDescent="0.25">
      <c r="A441" s="74"/>
      <c r="B441" s="76"/>
      <c r="C441" s="244" t="s">
        <v>97</v>
      </c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76"/>
      <c r="O441" s="76"/>
      <c r="P441" s="5"/>
      <c r="Q441" s="6" t="str">
        <f t="shared" si="142"/>
        <v>OKE</v>
      </c>
      <c r="R441" s="6"/>
    </row>
    <row r="442" spans="1:18" ht="15" hidden="1" thickBot="1" x14ac:dyDescent="0.25">
      <c r="A442" s="74"/>
      <c r="B442" s="76"/>
      <c r="C442" s="76"/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76"/>
      <c r="O442" s="76"/>
      <c r="P442" s="5"/>
      <c r="Q442" s="6" t="str">
        <f t="shared" si="142"/>
        <v>OKE</v>
      </c>
      <c r="R442" s="6"/>
    </row>
    <row r="443" spans="1:18" ht="15" hidden="1" thickBot="1" x14ac:dyDescent="0.25">
      <c r="A443" s="7" t="s">
        <v>36</v>
      </c>
      <c r="B443" s="7" t="s">
        <v>51</v>
      </c>
      <c r="C443" s="9" t="s">
        <v>100</v>
      </c>
      <c r="D443" s="10">
        <f>+D445+D447</f>
        <v>65000000</v>
      </c>
      <c r="E443" s="10"/>
      <c r="F443" s="10"/>
      <c r="G443" s="10">
        <f>+G445+G447</f>
        <v>63849900</v>
      </c>
      <c r="H443" s="11">
        <f>+H445+H447</f>
        <v>0</v>
      </c>
      <c r="I443" s="10">
        <f>+G443+H443</f>
        <v>63849900</v>
      </c>
      <c r="J443" s="12">
        <f>+I443/D443</f>
        <v>0.98230615384615383</v>
      </c>
      <c r="K443" s="10">
        <f>+K445+K447</f>
        <v>60979900</v>
      </c>
      <c r="L443" s="10">
        <f>+L445+L447</f>
        <v>2675000</v>
      </c>
      <c r="M443" s="10">
        <f>+K443+L443</f>
        <v>63654900</v>
      </c>
      <c r="N443" s="12">
        <f>+M443/D443</f>
        <v>0.97930615384615383</v>
      </c>
      <c r="O443" s="10">
        <f>+D443-I443</f>
        <v>1150100</v>
      </c>
      <c r="P443" s="5"/>
      <c r="Q443" s="6" t="str">
        <f t="shared" si="142"/>
        <v>OKE</v>
      </c>
      <c r="R443" s="6"/>
    </row>
    <row r="444" spans="1:18" ht="15" hidden="1" thickBot="1" x14ac:dyDescent="0.25">
      <c r="A444" s="7"/>
      <c r="B444" s="7"/>
      <c r="C444" s="9"/>
      <c r="D444" s="15"/>
      <c r="E444" s="15"/>
      <c r="F444" s="15"/>
      <c r="G444" s="80"/>
      <c r="H444" s="79"/>
      <c r="I444" s="80"/>
      <c r="J444" s="80"/>
      <c r="K444" s="80"/>
      <c r="L444" s="330"/>
      <c r="M444" s="76"/>
      <c r="N444" s="76"/>
      <c r="O444" s="76"/>
      <c r="P444" s="5"/>
      <c r="Q444" s="6" t="str">
        <f t="shared" si="142"/>
        <v>OKE</v>
      </c>
      <c r="R444" s="6"/>
    </row>
    <row r="445" spans="1:18" ht="15" hidden="1" thickBot="1" x14ac:dyDescent="0.25">
      <c r="A445" s="7"/>
      <c r="B445" s="75" t="s">
        <v>37</v>
      </c>
      <c r="C445" s="8" t="s">
        <v>101</v>
      </c>
      <c r="D445" s="15">
        <v>5000000</v>
      </c>
      <c r="E445" s="15"/>
      <c r="F445" s="15"/>
      <c r="G445" s="80">
        <v>5000000</v>
      </c>
      <c r="H445" s="79">
        <v>0</v>
      </c>
      <c r="I445" s="15">
        <f>+G445+H445</f>
        <v>5000000</v>
      </c>
      <c r="J445" s="16">
        <f>+I445/D445</f>
        <v>1</v>
      </c>
      <c r="K445" s="80">
        <v>2250000</v>
      </c>
      <c r="L445" s="80">
        <v>2675000</v>
      </c>
      <c r="M445" s="80">
        <f>+K445+L445</f>
        <v>4925000</v>
      </c>
      <c r="N445" s="16">
        <f>+M445/D445</f>
        <v>0.98499999999999999</v>
      </c>
      <c r="O445" s="80">
        <f>+D445-I445</f>
        <v>0</v>
      </c>
      <c r="P445" s="5"/>
      <c r="Q445" s="6" t="str">
        <f t="shared" si="142"/>
        <v>OKE</v>
      </c>
      <c r="R445" s="6"/>
    </row>
    <row r="446" spans="1:18" ht="15" hidden="1" thickBot="1" x14ac:dyDescent="0.25">
      <c r="A446" s="7"/>
      <c r="B446" s="7"/>
      <c r="C446" s="9"/>
      <c r="D446" s="15"/>
      <c r="E446" s="15"/>
      <c r="F446" s="15"/>
      <c r="G446" s="80"/>
      <c r="H446" s="79"/>
      <c r="I446" s="80"/>
      <c r="J446" s="80"/>
      <c r="K446" s="80"/>
      <c r="L446" s="330"/>
      <c r="M446" s="76"/>
      <c r="N446" s="76"/>
      <c r="O446" s="76"/>
      <c r="P446" s="5"/>
      <c r="Q446" s="6" t="str">
        <f t="shared" si="142"/>
        <v>OKE</v>
      </c>
      <c r="R446" s="6"/>
    </row>
    <row r="447" spans="1:18" ht="15" hidden="1" thickBot="1" x14ac:dyDescent="0.25">
      <c r="A447" s="74">
        <v>11</v>
      </c>
      <c r="B447" s="75" t="s">
        <v>42</v>
      </c>
      <c r="C447" s="76" t="s">
        <v>102</v>
      </c>
      <c r="D447" s="15">
        <v>60000000</v>
      </c>
      <c r="E447" s="15"/>
      <c r="F447" s="15"/>
      <c r="G447" s="80">
        <v>58849900</v>
      </c>
      <c r="H447" s="79">
        <v>0</v>
      </c>
      <c r="I447" s="15">
        <f>+G447+H447</f>
        <v>58849900</v>
      </c>
      <c r="J447" s="16">
        <f>+I447/D447</f>
        <v>0.98083166666666666</v>
      </c>
      <c r="K447" s="80">
        <v>58729900</v>
      </c>
      <c r="L447" s="80">
        <v>0</v>
      </c>
      <c r="M447" s="80">
        <f>+K447+L447</f>
        <v>58729900</v>
      </c>
      <c r="N447" s="16">
        <f>+M447/D447</f>
        <v>0.97883166666666666</v>
      </c>
      <c r="O447" s="80">
        <f>+D447-I447</f>
        <v>1150100</v>
      </c>
      <c r="P447" s="5"/>
      <c r="Q447" s="6" t="str">
        <f t="shared" si="142"/>
        <v>OKE</v>
      </c>
      <c r="R447" s="6"/>
    </row>
    <row r="448" spans="1:18" ht="15" hidden="1" thickBot="1" x14ac:dyDescent="0.25">
      <c r="A448" s="74"/>
      <c r="B448" s="74"/>
      <c r="C448" s="76"/>
      <c r="D448" s="15"/>
      <c r="E448" s="15"/>
      <c r="F448" s="15"/>
      <c r="G448" s="80"/>
      <c r="H448" s="79"/>
      <c r="I448" s="80"/>
      <c r="J448" s="80"/>
      <c r="K448" s="80"/>
      <c r="L448" s="76"/>
      <c r="M448" s="76"/>
      <c r="N448" s="76"/>
      <c r="O448" s="76"/>
      <c r="P448" s="5"/>
      <c r="Q448" s="6" t="str">
        <f t="shared" si="142"/>
        <v>OKE</v>
      </c>
      <c r="R448" s="6"/>
    </row>
    <row r="449" spans="1:40" ht="15" hidden="1" thickBot="1" x14ac:dyDescent="0.25">
      <c r="A449" s="85"/>
      <c r="B449" s="85"/>
      <c r="C449" s="34" t="s">
        <v>103</v>
      </c>
      <c r="D449" s="41">
        <f>+D447+D445</f>
        <v>65000000</v>
      </c>
      <c r="E449" s="41"/>
      <c r="F449" s="41"/>
      <c r="G449" s="41">
        <f>+G447+G445</f>
        <v>63849900</v>
      </c>
      <c r="H449" s="42">
        <f>+H447+H445</f>
        <v>0</v>
      </c>
      <c r="I449" s="41">
        <f>+G449+H449</f>
        <v>63849900</v>
      </c>
      <c r="J449" s="43">
        <f>+I449/D449</f>
        <v>0.98230615384615383</v>
      </c>
      <c r="K449" s="41">
        <f>+K447+K445</f>
        <v>60979900</v>
      </c>
      <c r="L449" s="41">
        <f>+L447+L445</f>
        <v>2675000</v>
      </c>
      <c r="M449" s="259">
        <f>+K449+L449</f>
        <v>63654900</v>
      </c>
      <c r="N449" s="43">
        <f>+M449/D449</f>
        <v>0.97930615384615383</v>
      </c>
      <c r="O449" s="41">
        <f>+D449-I449</f>
        <v>1150100</v>
      </c>
      <c r="P449" s="5"/>
      <c r="Q449" s="6" t="str">
        <f t="shared" si="142"/>
        <v>OKE</v>
      </c>
      <c r="R449" s="6"/>
    </row>
    <row r="450" spans="1:40" ht="15" hidden="1" thickBot="1" x14ac:dyDescent="0.25">
      <c r="A450" s="74"/>
      <c r="B450" s="74"/>
      <c r="C450" s="76"/>
      <c r="D450" s="15"/>
      <c r="E450" s="15"/>
      <c r="F450" s="15"/>
      <c r="G450" s="80"/>
      <c r="H450" s="79"/>
      <c r="I450" s="80"/>
      <c r="J450" s="80"/>
      <c r="K450" s="80"/>
      <c r="L450" s="76"/>
      <c r="M450" s="76"/>
      <c r="N450" s="76"/>
      <c r="O450" s="76"/>
      <c r="P450" s="5"/>
      <c r="Q450" s="6" t="str">
        <f t="shared" si="142"/>
        <v>OKE</v>
      </c>
      <c r="R450" s="6"/>
    </row>
    <row r="451" spans="1:40" ht="15" hidden="1" thickBot="1" x14ac:dyDescent="0.25">
      <c r="A451" s="7" t="s">
        <v>38</v>
      </c>
      <c r="B451" s="7" t="s">
        <v>104</v>
      </c>
      <c r="C451" s="9" t="s">
        <v>105</v>
      </c>
      <c r="D451" s="10">
        <f>+D453+D455</f>
        <v>65000000</v>
      </c>
      <c r="E451" s="10"/>
      <c r="F451" s="10"/>
      <c r="G451" s="10">
        <f>+G453+G455</f>
        <v>63625000</v>
      </c>
      <c r="H451" s="11">
        <f>+H453+H455</f>
        <v>0</v>
      </c>
      <c r="I451" s="10">
        <f>+G451+H451</f>
        <v>63625000</v>
      </c>
      <c r="J451" s="12">
        <f>+I451/D451</f>
        <v>0.97884615384615381</v>
      </c>
      <c r="K451" s="10">
        <f>+K453+K455</f>
        <v>58383200</v>
      </c>
      <c r="L451" s="10">
        <f>+L453+L455</f>
        <v>5241800</v>
      </c>
      <c r="M451" s="10">
        <f>+K451+L451</f>
        <v>63625000</v>
      </c>
      <c r="N451" s="12">
        <f>+M451/D451</f>
        <v>0.97884615384615381</v>
      </c>
      <c r="O451" s="10">
        <f>+D451-I451</f>
        <v>1375000</v>
      </c>
      <c r="P451" s="5"/>
      <c r="Q451" s="6" t="str">
        <f t="shared" si="142"/>
        <v>OKE</v>
      </c>
      <c r="R451" s="6"/>
    </row>
    <row r="452" spans="1:40" ht="15" hidden="1" thickBot="1" x14ac:dyDescent="0.25">
      <c r="A452" s="7"/>
      <c r="B452" s="7"/>
      <c r="C452" s="9"/>
      <c r="D452" s="15"/>
      <c r="E452" s="15"/>
      <c r="F452" s="15"/>
      <c r="G452" s="80"/>
      <c r="H452" s="79"/>
      <c r="I452" s="80"/>
      <c r="J452" s="80"/>
      <c r="K452" s="80"/>
      <c r="L452" s="330"/>
      <c r="M452" s="76"/>
      <c r="N452" s="76"/>
      <c r="O452" s="76"/>
      <c r="P452" s="5"/>
      <c r="Q452" s="6" t="str">
        <f t="shared" si="142"/>
        <v>OKE</v>
      </c>
      <c r="R452" s="6"/>
    </row>
    <row r="453" spans="1:40" ht="15" hidden="1" thickBot="1" x14ac:dyDescent="0.25">
      <c r="A453" s="74">
        <v>12</v>
      </c>
      <c r="B453" s="75" t="s">
        <v>71</v>
      </c>
      <c r="C453" s="76" t="s">
        <v>106</v>
      </c>
      <c r="D453" s="15">
        <v>32000000</v>
      </c>
      <c r="E453" s="15"/>
      <c r="F453" s="15"/>
      <c r="G453" s="80">
        <v>32000000</v>
      </c>
      <c r="H453" s="79">
        <v>0</v>
      </c>
      <c r="I453" s="15">
        <f>+G453+H453</f>
        <v>32000000</v>
      </c>
      <c r="J453" s="16">
        <f>+I453/D453</f>
        <v>1</v>
      </c>
      <c r="K453" s="80">
        <v>26758200</v>
      </c>
      <c r="L453" s="80">
        <v>5241800</v>
      </c>
      <c r="M453" s="80">
        <f>+K453+L453</f>
        <v>32000000</v>
      </c>
      <c r="N453" s="16">
        <f>+M453/D453</f>
        <v>1</v>
      </c>
      <c r="O453" s="80">
        <f>+D453-I453</f>
        <v>0</v>
      </c>
      <c r="P453" s="5"/>
      <c r="Q453" s="6" t="str">
        <f t="shared" si="142"/>
        <v>OKE</v>
      </c>
      <c r="R453" s="6"/>
    </row>
    <row r="454" spans="1:40" ht="15" hidden="1" thickBot="1" x14ac:dyDescent="0.25">
      <c r="A454" s="74"/>
      <c r="B454" s="74"/>
      <c r="C454" s="76"/>
      <c r="D454" s="15"/>
      <c r="E454" s="15"/>
      <c r="F454" s="15"/>
      <c r="G454" s="80"/>
      <c r="H454" s="79"/>
      <c r="I454" s="80"/>
      <c r="J454" s="80"/>
      <c r="K454" s="343"/>
      <c r="L454" s="330"/>
      <c r="M454" s="76"/>
      <c r="N454" s="76"/>
      <c r="O454" s="76"/>
      <c r="P454" s="5"/>
      <c r="Q454" s="6" t="str">
        <f t="shared" si="142"/>
        <v>OKE</v>
      </c>
      <c r="R454" s="6"/>
    </row>
    <row r="455" spans="1:40" ht="15" hidden="1" thickBot="1" x14ac:dyDescent="0.25">
      <c r="A455" s="74">
        <v>13</v>
      </c>
      <c r="B455" s="75" t="s">
        <v>107</v>
      </c>
      <c r="C455" s="76" t="s">
        <v>108</v>
      </c>
      <c r="D455" s="15">
        <v>33000000</v>
      </c>
      <c r="E455" s="15"/>
      <c r="F455" s="15"/>
      <c r="G455" s="80">
        <v>31625000</v>
      </c>
      <c r="H455" s="79">
        <v>0</v>
      </c>
      <c r="I455" s="15">
        <f>+G455+H455</f>
        <v>31625000</v>
      </c>
      <c r="J455" s="16">
        <f>+I455/D455</f>
        <v>0.95833333333333337</v>
      </c>
      <c r="K455" s="80">
        <v>31625000</v>
      </c>
      <c r="L455" s="80">
        <v>0</v>
      </c>
      <c r="M455" s="80">
        <f>+K455+L455</f>
        <v>31625000</v>
      </c>
      <c r="N455" s="16">
        <f>+M455/D455</f>
        <v>0.95833333333333337</v>
      </c>
      <c r="O455" s="80">
        <f>+D455-I455</f>
        <v>1375000</v>
      </c>
      <c r="P455" s="5"/>
      <c r="Q455" s="6" t="str">
        <f t="shared" si="142"/>
        <v>OKE</v>
      </c>
      <c r="R455" s="6"/>
    </row>
    <row r="456" spans="1:40" ht="15" hidden="1" thickBot="1" x14ac:dyDescent="0.25">
      <c r="A456" s="74"/>
      <c r="B456" s="74"/>
      <c r="C456" s="76"/>
      <c r="D456" s="15"/>
      <c r="E456" s="15"/>
      <c r="F456" s="15"/>
      <c r="G456" s="80"/>
      <c r="H456" s="79"/>
      <c r="I456" s="80"/>
      <c r="J456" s="80"/>
      <c r="K456" s="80"/>
      <c r="L456" s="76"/>
      <c r="M456" s="76"/>
      <c r="N456" s="76"/>
      <c r="O456" s="76"/>
      <c r="P456" s="5"/>
      <c r="Q456" s="6" t="str">
        <f t="shared" si="142"/>
        <v>OKE</v>
      </c>
      <c r="R456" s="6"/>
    </row>
    <row r="457" spans="1:40" ht="15" hidden="1" thickBot="1" x14ac:dyDescent="0.25">
      <c r="A457" s="85"/>
      <c r="B457" s="85"/>
      <c r="C457" s="34" t="s">
        <v>109</v>
      </c>
      <c r="D457" s="41">
        <f>+D455+D453</f>
        <v>65000000</v>
      </c>
      <c r="E457" s="41"/>
      <c r="F457" s="41"/>
      <c r="G457" s="41">
        <f>+G455+G453</f>
        <v>63625000</v>
      </c>
      <c r="H457" s="42">
        <f>+H455+H453</f>
        <v>0</v>
      </c>
      <c r="I457" s="41">
        <f>+G457+H457</f>
        <v>63625000</v>
      </c>
      <c r="J457" s="43">
        <f>+I457/D457</f>
        <v>0.97884615384615381</v>
      </c>
      <c r="K457" s="41">
        <f>+K455+K453</f>
        <v>58383200</v>
      </c>
      <c r="L457" s="41">
        <f>+L455+L453</f>
        <v>5241800</v>
      </c>
      <c r="M457" s="41">
        <f>+K457+L457</f>
        <v>63625000</v>
      </c>
      <c r="N457" s="43">
        <f>+M457/D457</f>
        <v>0.97884615384615381</v>
      </c>
      <c r="O457" s="41">
        <f>+D457-I457</f>
        <v>1375000</v>
      </c>
      <c r="P457" s="5"/>
      <c r="Q457" s="6" t="str">
        <f t="shared" si="142"/>
        <v>OKE</v>
      </c>
      <c r="R457" s="6"/>
    </row>
    <row r="458" spans="1:40" ht="15" hidden="1" thickBot="1" x14ac:dyDescent="0.25">
      <c r="A458" s="74"/>
      <c r="B458" s="74"/>
      <c r="C458" s="76"/>
      <c r="D458" s="15"/>
      <c r="E458" s="15"/>
      <c r="F458" s="15"/>
      <c r="G458" s="80"/>
      <c r="H458" s="79"/>
      <c r="I458" s="80"/>
      <c r="J458" s="80"/>
      <c r="K458" s="80"/>
      <c r="L458" s="330"/>
      <c r="M458" s="76"/>
      <c r="N458" s="76"/>
      <c r="O458" s="76"/>
      <c r="P458" s="5"/>
      <c r="Q458" s="6" t="str">
        <f t="shared" si="142"/>
        <v>OKE</v>
      </c>
      <c r="R458" s="6"/>
    </row>
    <row r="459" spans="1:40" ht="15" hidden="1" thickBot="1" x14ac:dyDescent="0.25">
      <c r="A459" s="92"/>
      <c r="B459" s="92"/>
      <c r="C459" s="54"/>
      <c r="D459" s="55"/>
      <c r="E459" s="55"/>
      <c r="F459" s="55"/>
      <c r="G459" s="55"/>
      <c r="H459" s="56"/>
      <c r="I459" s="55"/>
      <c r="J459" s="57"/>
      <c r="K459" s="55"/>
      <c r="L459" s="55"/>
      <c r="M459" s="58"/>
      <c r="N459" s="59"/>
      <c r="O459" s="58"/>
      <c r="P459" s="5"/>
      <c r="Q459" s="6" t="str">
        <f t="shared" si="142"/>
        <v>OKE</v>
      </c>
      <c r="R459" s="6"/>
    </row>
    <row r="460" spans="1:40" s="72" customFormat="1" ht="10.5" customHeight="1" x14ac:dyDescent="0.2">
      <c r="A460" s="435"/>
      <c r="B460" s="436"/>
      <c r="C460" s="439" t="s">
        <v>110</v>
      </c>
      <c r="D460" s="429">
        <f t="shared" ref="D460:I460" si="143">+D30+D47+D62+D77+D98+D113+D126+D175+D192+D254</f>
        <v>70935668093</v>
      </c>
      <c r="E460" s="429">
        <f t="shared" si="143"/>
        <v>-36639150</v>
      </c>
      <c r="F460" s="441">
        <f t="shared" si="143"/>
        <v>70899028943</v>
      </c>
      <c r="G460" s="453">
        <f t="shared" si="143"/>
        <v>3878227098</v>
      </c>
      <c r="H460" s="429">
        <f t="shared" si="143"/>
        <v>6113519491</v>
      </c>
      <c r="I460" s="429">
        <f t="shared" si="143"/>
        <v>9991746589</v>
      </c>
      <c r="J460" s="431">
        <f>+I460/F460</f>
        <v>0.14092924456035874</v>
      </c>
      <c r="K460" s="453">
        <f>+K30+K47+K62+K77+K98+K113+K126+K175+K192+K254</f>
        <v>3859374048</v>
      </c>
      <c r="L460" s="429">
        <f>+L30+L47+L62+L77+L98+L113+L126+L175+L192+L254</f>
        <v>6078000990</v>
      </c>
      <c r="M460" s="429">
        <f>+K460+L460</f>
        <v>9937375038</v>
      </c>
      <c r="N460" s="433">
        <f>+M460/F460</f>
        <v>0.14016235745611205</v>
      </c>
      <c r="O460" s="429">
        <f>+F460-M460</f>
        <v>60961653905</v>
      </c>
      <c r="P460" s="5"/>
      <c r="Q460" s="6" t="str">
        <f t="shared" si="142"/>
        <v>OKE</v>
      </c>
      <c r="R460" s="6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</row>
    <row r="461" spans="1:40" s="73" customFormat="1" ht="18" customHeight="1" thickBot="1" x14ac:dyDescent="0.25">
      <c r="A461" s="437"/>
      <c r="B461" s="438"/>
      <c r="C461" s="430"/>
      <c r="D461" s="440"/>
      <c r="E461" s="440"/>
      <c r="F461" s="442"/>
      <c r="G461" s="454"/>
      <c r="H461" s="440"/>
      <c r="I461" s="430"/>
      <c r="J461" s="432"/>
      <c r="K461" s="454"/>
      <c r="L461" s="440"/>
      <c r="M461" s="430"/>
      <c r="N461" s="434"/>
      <c r="O461" s="430"/>
      <c r="P461" s="77"/>
      <c r="Q461" s="6" t="str">
        <f t="shared" si="142"/>
        <v>OKE</v>
      </c>
      <c r="R461" s="6"/>
      <c r="S461" s="306">
        <f>+S474+710867390</f>
        <v>6041668347</v>
      </c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</row>
    <row r="462" spans="1:40" ht="5.25" customHeight="1" x14ac:dyDescent="0.2">
      <c r="A462" s="90"/>
      <c r="B462" s="90"/>
      <c r="C462" s="37"/>
      <c r="D462" s="37"/>
      <c r="E462" s="37"/>
      <c r="F462" s="37"/>
      <c r="G462" s="37"/>
      <c r="H462" s="38"/>
      <c r="I462" s="40"/>
      <c r="J462" s="39"/>
      <c r="K462" s="37"/>
      <c r="L462" s="37"/>
      <c r="M462" s="60"/>
      <c r="N462" s="61"/>
      <c r="O462" s="62"/>
      <c r="P462" s="77"/>
    </row>
    <row r="463" spans="1:40" x14ac:dyDescent="0.2">
      <c r="A463" s="77"/>
      <c r="B463" s="77"/>
      <c r="C463" s="77"/>
      <c r="D463" s="31"/>
      <c r="G463" s="88"/>
      <c r="H463" s="63"/>
      <c r="I463" s="26"/>
      <c r="J463" s="26"/>
      <c r="K463" s="88"/>
      <c r="L463" s="77"/>
      <c r="M463" s="77"/>
      <c r="N463" s="77"/>
      <c r="O463" s="77"/>
      <c r="P463" s="64"/>
      <c r="Q463" s="64"/>
      <c r="R463" s="31" t="s">
        <v>148</v>
      </c>
      <c r="S463" s="189">
        <f>698407940+18029678+12754936+7770000+7740000</f>
        <v>744702554</v>
      </c>
      <c r="T463" s="190">
        <f>SUM(S463:S467)</f>
        <v>2545090815</v>
      </c>
    </row>
    <row r="464" spans="1:40" hidden="1" x14ac:dyDescent="0.2">
      <c r="A464" s="77"/>
      <c r="B464" s="77"/>
      <c r="C464" s="77"/>
      <c r="G464" s="88"/>
      <c r="H464" s="63"/>
      <c r="I464" s="26"/>
      <c r="J464" s="26"/>
      <c r="K464" s="88"/>
      <c r="L464" s="77"/>
      <c r="M464" s="77"/>
      <c r="N464" s="77"/>
      <c r="O464" s="77"/>
      <c r="P464" s="77"/>
      <c r="Q464" s="77"/>
      <c r="R464" s="77"/>
      <c r="S464" s="189"/>
      <c r="T464" s="77"/>
    </row>
    <row r="465" spans="1:21" hidden="1" x14ac:dyDescent="0.2">
      <c r="A465" s="77"/>
      <c r="B465" s="77"/>
      <c r="C465" s="77"/>
      <c r="G465" s="26"/>
      <c r="H465" s="271"/>
      <c r="I465" s="88"/>
      <c r="J465" s="88"/>
      <c r="K465" s="88"/>
      <c r="L465" s="77"/>
      <c r="M465" s="77"/>
      <c r="N465" s="77"/>
      <c r="O465" s="77"/>
      <c r="P465" s="77"/>
      <c r="Q465" s="77"/>
      <c r="R465" s="77"/>
      <c r="S465" s="189"/>
      <c r="T465" s="77"/>
    </row>
    <row r="466" spans="1:21" x14ac:dyDescent="0.2">
      <c r="A466" s="77"/>
      <c r="B466" s="77"/>
      <c r="C466" s="77"/>
      <c r="D466" s="31"/>
      <c r="G466" s="26"/>
      <c r="H466" s="271"/>
      <c r="I466" s="88"/>
      <c r="J466" s="88"/>
      <c r="K466" s="88"/>
      <c r="L466" s="425" t="s">
        <v>339</v>
      </c>
      <c r="M466" s="426"/>
      <c r="N466" s="426"/>
      <c r="O466" s="426"/>
      <c r="P466" s="77" t="s">
        <v>302</v>
      </c>
      <c r="Q466" s="179">
        <f>776455+59553184+4598328</f>
        <v>64927967</v>
      </c>
      <c r="R466" s="77" t="s">
        <v>269</v>
      </c>
      <c r="S466" s="189">
        <v>72037500</v>
      </c>
      <c r="T466" s="179">
        <f>+Q474</f>
        <v>0</v>
      </c>
    </row>
    <row r="467" spans="1:21" ht="14.25" customHeight="1" x14ac:dyDescent="0.2">
      <c r="A467" s="77"/>
      <c r="B467" s="77"/>
      <c r="C467" s="77"/>
      <c r="D467" s="31"/>
      <c r="G467" s="88"/>
      <c r="H467" s="271"/>
      <c r="I467" s="88"/>
      <c r="J467" s="88"/>
      <c r="K467" s="88"/>
      <c r="L467" s="425" t="s">
        <v>328</v>
      </c>
      <c r="M467" s="426"/>
      <c r="N467" s="426"/>
      <c r="O467" s="426"/>
      <c r="P467" s="77" t="s">
        <v>268</v>
      </c>
      <c r="Q467" s="179">
        <f>77228992+9657000+2819333</f>
        <v>89705325</v>
      </c>
      <c r="R467" s="77" t="s">
        <v>149</v>
      </c>
      <c r="S467" s="190">
        <f>838971433+889379328</f>
        <v>1728350761</v>
      </c>
      <c r="T467" s="77"/>
    </row>
    <row r="468" spans="1:21" ht="14.25" hidden="1" customHeight="1" x14ac:dyDescent="0.2">
      <c r="A468" s="77"/>
      <c r="B468" s="77"/>
      <c r="C468" s="77"/>
      <c r="G468" s="88"/>
      <c r="H468" s="271"/>
      <c r="I468" s="88"/>
      <c r="J468" s="88"/>
      <c r="K468" s="88"/>
      <c r="L468" s="26"/>
      <c r="M468" s="88"/>
      <c r="N468" s="88"/>
      <c r="O468" s="77"/>
      <c r="P468" s="77"/>
      <c r="Q468" s="179"/>
      <c r="R468" s="77"/>
      <c r="S468" s="77"/>
      <c r="T468" s="77"/>
    </row>
    <row r="469" spans="1:21" ht="14.25" hidden="1" customHeight="1" x14ac:dyDescent="0.2">
      <c r="A469" s="77"/>
      <c r="B469" s="77"/>
      <c r="C469" s="77"/>
      <c r="G469" s="88"/>
      <c r="H469" s="271"/>
      <c r="I469" s="88"/>
      <c r="J469" s="88"/>
      <c r="K469" s="88"/>
      <c r="L469" s="88"/>
      <c r="M469" s="88"/>
      <c r="N469" s="88"/>
      <c r="O469" s="77"/>
      <c r="P469" s="77"/>
      <c r="Q469" s="179"/>
      <c r="R469" s="77"/>
      <c r="S469" s="77"/>
      <c r="T469" s="77"/>
    </row>
    <row r="470" spans="1:21" ht="14.25" hidden="1" customHeight="1" x14ac:dyDescent="0.2">
      <c r="A470" s="77"/>
      <c r="B470" s="77"/>
      <c r="C470" s="77"/>
      <c r="G470" s="88"/>
      <c r="H470" s="271"/>
      <c r="I470" s="88"/>
      <c r="J470" s="88"/>
      <c r="K470" s="88"/>
      <c r="L470" s="88"/>
      <c r="M470" s="88"/>
      <c r="N470" s="88"/>
      <c r="O470" s="77"/>
      <c r="P470" s="77"/>
      <c r="Q470" s="179"/>
      <c r="R470" s="77"/>
      <c r="S470" s="77"/>
      <c r="T470" s="77"/>
    </row>
    <row r="471" spans="1:21" ht="14.25" hidden="1" customHeight="1" x14ac:dyDescent="0.2">
      <c r="A471" s="77"/>
      <c r="B471" s="77"/>
      <c r="C471" s="77"/>
      <c r="G471" s="88"/>
      <c r="H471" s="65"/>
      <c r="I471" s="200"/>
      <c r="J471" s="200"/>
      <c r="K471" s="88"/>
      <c r="L471" s="88"/>
      <c r="M471" s="88"/>
      <c r="N471" s="88"/>
      <c r="O471" s="77"/>
      <c r="P471" s="77"/>
      <c r="Q471" s="179"/>
      <c r="R471" s="77"/>
      <c r="S471" s="77"/>
      <c r="T471" s="77"/>
    </row>
    <row r="472" spans="1:21" ht="12.75" customHeight="1" x14ac:dyDescent="0.2">
      <c r="A472" s="77"/>
      <c r="B472" s="77"/>
      <c r="C472" s="77"/>
      <c r="D472" s="31"/>
      <c r="G472" s="88"/>
      <c r="H472" s="65"/>
      <c r="I472" s="200"/>
      <c r="J472" s="200"/>
      <c r="K472" s="88"/>
      <c r="L472" s="425" t="s">
        <v>146</v>
      </c>
      <c r="M472" s="426"/>
      <c r="N472" s="426"/>
      <c r="O472" s="426"/>
      <c r="P472" s="77" t="s">
        <v>270</v>
      </c>
      <c r="Q472" s="179">
        <v>0</v>
      </c>
      <c r="R472" s="77" t="s">
        <v>271</v>
      </c>
      <c r="S472" s="179">
        <f>+Q476</f>
        <v>2785710142</v>
      </c>
      <c r="T472" s="77"/>
    </row>
    <row r="473" spans="1:21" ht="12.75" customHeight="1" x14ac:dyDescent="0.2">
      <c r="A473" s="77"/>
      <c r="B473" s="77"/>
      <c r="C473" s="77"/>
      <c r="G473" s="88"/>
      <c r="H473" s="65"/>
      <c r="I473" s="200"/>
      <c r="J473" s="200"/>
      <c r="K473" s="88"/>
      <c r="L473" s="425" t="s">
        <v>329</v>
      </c>
      <c r="M473" s="426"/>
      <c r="N473" s="426"/>
      <c r="O473" s="426"/>
      <c r="P473" s="77" t="s">
        <v>147</v>
      </c>
      <c r="Q473" s="179">
        <v>25059350</v>
      </c>
      <c r="R473" s="77"/>
      <c r="S473" s="278"/>
      <c r="T473" s="69">
        <f>+T463+T466</f>
        <v>2545090815</v>
      </c>
      <c r="U473" s="68" t="s">
        <v>347</v>
      </c>
    </row>
    <row r="474" spans="1:21" ht="14.2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88"/>
      <c r="M474" s="88"/>
      <c r="N474" s="88"/>
      <c r="O474" s="77"/>
      <c r="P474" s="77" t="s">
        <v>151</v>
      </c>
      <c r="Q474" s="179">
        <v>0</v>
      </c>
      <c r="R474" s="277" t="s">
        <v>152</v>
      </c>
      <c r="S474" s="279">
        <f>SUM(S463:S472)</f>
        <v>5330800957</v>
      </c>
    </row>
    <row r="475" spans="1:21" ht="14.2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88"/>
      <c r="M475" s="88"/>
      <c r="N475" s="88"/>
      <c r="O475" s="77"/>
      <c r="P475" s="77" t="s">
        <v>274</v>
      </c>
      <c r="Q475" s="179">
        <f>84225200+3952500+2946500+12677600+4288500+13783900+10710000+10500000+4850000+2800000+93102500+35700000+11610000+29500000+854500+21546000+28500000+12288000+12250000+6350000+28302100+112700000+4700000+12943200+10000000+7200000+30225000+84269000+3600000+40000000+12250000+34968000+171165000+6000000+7000000+20010000+492000000+820000000+246000000+29000000+31250000</f>
        <v>2606017500</v>
      </c>
      <c r="R475" s="77"/>
      <c r="S475" s="179"/>
    </row>
    <row r="476" spans="1:21" x14ac:dyDescent="0.2">
      <c r="A476" s="77"/>
      <c r="B476" s="77"/>
      <c r="C476" s="77"/>
      <c r="G476" s="66"/>
      <c r="H476" s="65"/>
      <c r="I476" s="200"/>
      <c r="J476" s="200"/>
      <c r="K476" s="88"/>
      <c r="L476" s="427" t="s">
        <v>330</v>
      </c>
      <c r="M476" s="427"/>
      <c r="N476" s="427"/>
      <c r="O476" s="427"/>
      <c r="P476" s="277" t="s">
        <v>273</v>
      </c>
      <c r="Q476" s="280">
        <f>SUM(Q466:Q475)</f>
        <v>2785710142</v>
      </c>
      <c r="R476" s="192" t="s">
        <v>150</v>
      </c>
      <c r="S476" s="191">
        <f>+L460-S474</f>
        <v>747200033</v>
      </c>
    </row>
    <row r="477" spans="1:21" ht="15" customHeight="1" x14ac:dyDescent="0.2">
      <c r="A477" s="77"/>
      <c r="B477" s="77"/>
      <c r="C477" s="77"/>
      <c r="G477" s="67"/>
      <c r="H477" s="271"/>
      <c r="I477" s="88"/>
      <c r="J477" s="88"/>
      <c r="K477" s="88"/>
      <c r="L477" s="428" t="s">
        <v>331</v>
      </c>
      <c r="M477" s="428"/>
      <c r="N477" s="428"/>
      <c r="O477" s="428"/>
      <c r="P477" s="77"/>
      <c r="Q477" s="77"/>
      <c r="R477" s="192" t="s">
        <v>272</v>
      </c>
      <c r="S477" s="191">
        <f>+S474+S476+1343435000</f>
        <v>7421435990</v>
      </c>
    </row>
    <row r="480" spans="1:21" x14ac:dyDescent="0.2">
      <c r="Q480" s="320">
        <f>+Q476-2696594975</f>
        <v>89115167</v>
      </c>
    </row>
    <row r="481" spans="17:19" x14ac:dyDescent="0.2">
      <c r="Q481" s="1">
        <f>+U592</f>
        <v>0</v>
      </c>
      <c r="S481" s="319"/>
    </row>
    <row r="485" spans="17:19" hidden="1" x14ac:dyDescent="0.2"/>
    <row r="486" spans="17:19" hidden="1" x14ac:dyDescent="0.2"/>
    <row r="487" spans="17:19" hidden="1" x14ac:dyDescent="0.2"/>
    <row r="488" spans="17:19" hidden="1" x14ac:dyDescent="0.2"/>
    <row r="489" spans="17:19" hidden="1" x14ac:dyDescent="0.2"/>
    <row r="490" spans="17:19" hidden="1" x14ac:dyDescent="0.2"/>
    <row r="491" spans="17:19" hidden="1" x14ac:dyDescent="0.2"/>
    <row r="492" spans="17:19" hidden="1" x14ac:dyDescent="0.2"/>
    <row r="493" spans="17:19" hidden="1" x14ac:dyDescent="0.2"/>
    <row r="494" spans="17:19" hidden="1" x14ac:dyDescent="0.2"/>
    <row r="495" spans="17:19" hidden="1" x14ac:dyDescent="0.2"/>
    <row r="496" spans="17:19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</sheetData>
  <mergeCells count="242">
    <mergeCell ref="C247:C248"/>
    <mergeCell ref="L472:O472"/>
    <mergeCell ref="L473:O473"/>
    <mergeCell ref="L476:O476"/>
    <mergeCell ref="L477:O477"/>
    <mergeCell ref="J460:J461"/>
    <mergeCell ref="K460:K461"/>
    <mergeCell ref="L460:L461"/>
    <mergeCell ref="M460:M461"/>
    <mergeCell ref="N460:N461"/>
    <mergeCell ref="O460:O461"/>
    <mergeCell ref="K355:K356"/>
    <mergeCell ref="L355:L356"/>
    <mergeCell ref="M355:M356"/>
    <mergeCell ref="N355:N356"/>
    <mergeCell ref="O355:O356"/>
    <mergeCell ref="O325:O327"/>
    <mergeCell ref="G326:J326"/>
    <mergeCell ref="K326:N326"/>
    <mergeCell ref="A270:O270"/>
    <mergeCell ref="G254:G255"/>
    <mergeCell ref="H254:H255"/>
    <mergeCell ref="I254:I255"/>
    <mergeCell ref="J254:J255"/>
    <mergeCell ref="A460:B461"/>
    <mergeCell ref="C460:C461"/>
    <mergeCell ref="D460:D461"/>
    <mergeCell ref="F460:F461"/>
    <mergeCell ref="G460:G461"/>
    <mergeCell ref="H460:H461"/>
    <mergeCell ref="I460:I461"/>
    <mergeCell ref="L466:O466"/>
    <mergeCell ref="L467:O467"/>
    <mergeCell ref="E460:E461"/>
    <mergeCell ref="A436:A438"/>
    <mergeCell ref="B436:B438"/>
    <mergeCell ref="C436:C438"/>
    <mergeCell ref="D436:D438"/>
    <mergeCell ref="G436:J436"/>
    <mergeCell ref="K436:N436"/>
    <mergeCell ref="A379:O379"/>
    <mergeCell ref="A380:O380"/>
    <mergeCell ref="A381:O381"/>
    <mergeCell ref="A382:A384"/>
    <mergeCell ref="B382:B384"/>
    <mergeCell ref="C382:C384"/>
    <mergeCell ref="D382:D384"/>
    <mergeCell ref="G382:J382"/>
    <mergeCell ref="K382:N382"/>
    <mergeCell ref="O382:O384"/>
    <mergeCell ref="O436:O438"/>
    <mergeCell ref="G437:J437"/>
    <mergeCell ref="K437:N437"/>
    <mergeCell ref="G383:J383"/>
    <mergeCell ref="K383:N383"/>
    <mergeCell ref="A355:A356"/>
    <mergeCell ref="B355:B356"/>
    <mergeCell ref="C355:C356"/>
    <mergeCell ref="D355:D356"/>
    <mergeCell ref="G355:G356"/>
    <mergeCell ref="H355:H356"/>
    <mergeCell ref="I355:I356"/>
    <mergeCell ref="O271:O273"/>
    <mergeCell ref="G272:J272"/>
    <mergeCell ref="K272:N272"/>
    <mergeCell ref="A324:O324"/>
    <mergeCell ref="A325:A327"/>
    <mergeCell ref="B325:B327"/>
    <mergeCell ref="C325:C327"/>
    <mergeCell ref="D325:D327"/>
    <mergeCell ref="G325:J325"/>
    <mergeCell ref="K325:N325"/>
    <mergeCell ref="A271:A273"/>
    <mergeCell ref="B271:B273"/>
    <mergeCell ref="C271:C273"/>
    <mergeCell ref="D271:D273"/>
    <mergeCell ref="G271:J271"/>
    <mergeCell ref="K271:N271"/>
    <mergeCell ref="J355:J356"/>
    <mergeCell ref="K254:K255"/>
    <mergeCell ref="L254:L255"/>
    <mergeCell ref="A254:A255"/>
    <mergeCell ref="B254:B255"/>
    <mergeCell ref="C254:C255"/>
    <mergeCell ref="D254:D255"/>
    <mergeCell ref="E254:E255"/>
    <mergeCell ref="F254:F255"/>
    <mergeCell ref="M254:M255"/>
    <mergeCell ref="N254:N255"/>
    <mergeCell ref="O254:O255"/>
    <mergeCell ref="A268:O268"/>
    <mergeCell ref="A269:O269"/>
    <mergeCell ref="O175:O176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J192:J193"/>
    <mergeCell ref="K192:K193"/>
    <mergeCell ref="L192:L193"/>
    <mergeCell ref="M192:M193"/>
    <mergeCell ref="N192:N193"/>
    <mergeCell ref="O192:O193"/>
    <mergeCell ref="I192:I193"/>
    <mergeCell ref="I175:I176"/>
    <mergeCell ref="J175:J176"/>
    <mergeCell ref="K175:K176"/>
    <mergeCell ref="L175:L176"/>
    <mergeCell ref="M175:M176"/>
    <mergeCell ref="N175:N176"/>
    <mergeCell ref="A175:A176"/>
    <mergeCell ref="B175:B176"/>
    <mergeCell ref="G175:G176"/>
    <mergeCell ref="H175:H176"/>
    <mergeCell ref="C175:C176"/>
    <mergeCell ref="D175:D176"/>
    <mergeCell ref="E175:E176"/>
    <mergeCell ref="F175:F176"/>
    <mergeCell ref="H126:H127"/>
    <mergeCell ref="M113:M114"/>
    <mergeCell ref="N113:N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A113:A114"/>
    <mergeCell ref="B113:B114"/>
    <mergeCell ref="C113:C114"/>
    <mergeCell ref="D113:D114"/>
    <mergeCell ref="E113:E114"/>
    <mergeCell ref="F113:F114"/>
    <mergeCell ref="J98:J99"/>
    <mergeCell ref="K98:K99"/>
    <mergeCell ref="L98:L99"/>
    <mergeCell ref="M98:M99"/>
    <mergeCell ref="N98:N99"/>
    <mergeCell ref="O98:O99"/>
    <mergeCell ref="I126:I127"/>
    <mergeCell ref="J126:J127"/>
    <mergeCell ref="K126:K127"/>
    <mergeCell ref="L126:L127"/>
    <mergeCell ref="M126:M127"/>
    <mergeCell ref="O113:O114"/>
    <mergeCell ref="I113:I114"/>
    <mergeCell ref="J113:J114"/>
    <mergeCell ref="K113:K114"/>
    <mergeCell ref="L113:L114"/>
    <mergeCell ref="N126:N127"/>
    <mergeCell ref="O126:O127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C77:C78"/>
    <mergeCell ref="D77:D78"/>
    <mergeCell ref="E77:E78"/>
    <mergeCell ref="F77:F78"/>
    <mergeCell ref="G77:G78"/>
    <mergeCell ref="H77:H78"/>
    <mergeCell ref="H62:H63"/>
    <mergeCell ref="M47:M48"/>
    <mergeCell ref="N47:N48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K62:K63"/>
    <mergeCell ref="L62:L63"/>
    <mergeCell ref="M62:M63"/>
    <mergeCell ref="A47:A48"/>
    <mergeCell ref="B47:B48"/>
    <mergeCell ref="C47:C48"/>
    <mergeCell ref="D47:D48"/>
    <mergeCell ref="E47:E48"/>
    <mergeCell ref="F47:F48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  <rowBreaks count="1" manualBreakCount="1">
    <brk id="194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topLeftCell="A10" workbookViewId="0">
      <selection activeCell="I18" sqref="I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337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3116707640</v>
      </c>
      <c r="G8" s="107">
        <f>F8/E8</f>
        <v>0.15778683354293307</v>
      </c>
      <c r="H8" s="105">
        <f>SUM(H9:H11)</f>
        <v>3083111320</v>
      </c>
      <c r="I8" s="108">
        <f>H8/E8</f>
        <v>0.15608598201503837</v>
      </c>
      <c r="J8" s="109">
        <f>C8-H8</f>
        <v>16669535780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+maret!I30</f>
        <v>215389640</v>
      </c>
      <c r="G9" s="115">
        <f>F9/E9</f>
        <v>0.19207169452033404</v>
      </c>
      <c r="H9" s="113">
        <f>+maret!M30</f>
        <v>199384320</v>
      </c>
      <c r="I9" s="115">
        <f>H9/E9</f>
        <v>0.17779910028720292</v>
      </c>
      <c r="J9" s="116">
        <f>E9-H9</f>
        <v>922017980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+maret!I62</f>
        <v>2839743000</v>
      </c>
      <c r="G10" s="115">
        <f t="shared" ref="G10:G20" si="0">F10/E10</f>
        <v>0.15800713998732088</v>
      </c>
      <c r="H10" s="113">
        <f>+maret!M62</f>
        <v>2823406500</v>
      </c>
      <c r="I10" s="115">
        <f t="shared" ref="I10:I20" si="1">H10/E10</f>
        <v>0.15709815503959751</v>
      </c>
      <c r="J10" s="116">
        <f t="shared" ref="J10:J20" si="2">E10-H10</f>
        <v>15148838300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+maret!I47</f>
        <v>61575000</v>
      </c>
      <c r="G11" s="131">
        <f t="shared" si="0"/>
        <v>9.3437025796661605E-2</v>
      </c>
      <c r="H11" s="153">
        <f>+maret!M47</f>
        <v>60320500</v>
      </c>
      <c r="I11" s="131">
        <f t="shared" si="1"/>
        <v>9.1533383915022762E-2</v>
      </c>
      <c r="J11" s="154">
        <f t="shared" si="2"/>
        <v>598679500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248731380</v>
      </c>
      <c r="G12" s="129">
        <f>F12/E12</f>
        <v>2.331864495602522E-2</v>
      </c>
      <c r="H12" s="157">
        <f>SUM(H13:H15)</f>
        <v>230219104</v>
      </c>
      <c r="I12" s="129">
        <f>H12/E12</f>
        <v>2.1583113269705839E-2</v>
      </c>
      <c r="J12" s="159">
        <f t="shared" ref="J12:J16" si="4">C12-H12</f>
        <v>10436411846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+maret!I98</f>
        <v>163983150</v>
      </c>
      <c r="G13" s="115">
        <f t="shared" si="0"/>
        <v>7.4261487026690901E-2</v>
      </c>
      <c r="H13" s="113">
        <f>+maret!M98</f>
        <v>148684950</v>
      </c>
      <c r="I13" s="115">
        <f t="shared" si="1"/>
        <v>6.7333536924307061E-2</v>
      </c>
      <c r="J13" s="116">
        <f t="shared" si="2"/>
        <v>2059500700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+maret!I77</f>
        <v>53855250</v>
      </c>
      <c r="G14" s="115">
        <f t="shared" si="0"/>
        <v>8.9224370375095164E-3</v>
      </c>
      <c r="H14" s="113">
        <f>+maret!M77</f>
        <v>52414806</v>
      </c>
      <c r="I14" s="115">
        <f t="shared" si="1"/>
        <v>8.6837923204938425E-3</v>
      </c>
      <c r="J14" s="116">
        <f t="shared" si="2"/>
        <v>5983520194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+maret!I113</f>
        <v>30892980</v>
      </c>
      <c r="G15" s="121">
        <f t="shared" si="0"/>
        <v>1.2752465902828154E-2</v>
      </c>
      <c r="H15" s="119">
        <f>+maret!M113</f>
        <v>29119348</v>
      </c>
      <c r="I15" s="131">
        <f t="shared" si="1"/>
        <v>1.2020319583367715E-2</v>
      </c>
      <c r="J15" s="122">
        <f t="shared" si="2"/>
        <v>2393390952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3"/>
        <v>40479750893</v>
      </c>
      <c r="F16" s="127">
        <f>SUM(F17:F20)</f>
        <v>6626307569</v>
      </c>
      <c r="G16" s="128">
        <f>F16/E16</f>
        <v>0.16369437614661458</v>
      </c>
      <c r="H16" s="125">
        <f>SUM(H17:H20)</f>
        <v>6624044614</v>
      </c>
      <c r="I16" s="129">
        <f>H16/E16</f>
        <v>0.16363847276405719</v>
      </c>
      <c r="J16" s="130">
        <f t="shared" si="4"/>
        <v>33855706279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+maret!I126</f>
        <v>151817000</v>
      </c>
      <c r="G17" s="115">
        <f t="shared" si="0"/>
        <v>0.13584527684950126</v>
      </c>
      <c r="H17" s="133">
        <f>+maret!M126</f>
        <v>151566500</v>
      </c>
      <c r="I17" s="115">
        <f t="shared" si="1"/>
        <v>0.13562113039784698</v>
      </c>
      <c r="J17" s="116">
        <f t="shared" si="2"/>
        <v>966006400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+maret!I192</f>
        <v>91197000</v>
      </c>
      <c r="G18" s="115">
        <f>F18/E18</f>
        <v>7.6693532151036733E-2</v>
      </c>
      <c r="H18" s="133">
        <f>+maret!M192</f>
        <v>90616400</v>
      </c>
      <c r="I18" s="115">
        <f t="shared" si="1"/>
        <v>7.6205267572521079E-2</v>
      </c>
      <c r="J18" s="116">
        <f t="shared" si="2"/>
        <v>1098493000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+maret!I254</f>
        <v>2367143469</v>
      </c>
      <c r="G19" s="115">
        <f t="shared" ref="G19" si="6">F19/E19</f>
        <v>0.19433997327679453</v>
      </c>
      <c r="H19" s="133">
        <f>+maret!M254</f>
        <v>2367016314</v>
      </c>
      <c r="I19" s="115">
        <f t="shared" si="1"/>
        <v>0.1943295339858831</v>
      </c>
      <c r="J19" s="116">
        <f t="shared" si="2"/>
        <v>9813408686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3"/>
        <v>25992643593</v>
      </c>
      <c r="F20" s="133">
        <f>+maret!I175</f>
        <v>4016150100</v>
      </c>
      <c r="G20" s="115">
        <f t="shared" si="0"/>
        <v>0.15451102869280972</v>
      </c>
      <c r="H20" s="133">
        <f>+maret!M175</f>
        <v>4014845400</v>
      </c>
      <c r="I20" s="115">
        <f t="shared" si="1"/>
        <v>0.15446083372147748</v>
      </c>
      <c r="J20" s="116">
        <f t="shared" si="2"/>
        <v>21977798193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70899028943</v>
      </c>
      <c r="D21" s="163">
        <f>D16+D12+D8</f>
        <v>0</v>
      </c>
      <c r="E21" s="164">
        <f>D21+C21</f>
        <v>70899028943</v>
      </c>
      <c r="F21" s="164">
        <f>F16+F12+F8</f>
        <v>9991746589</v>
      </c>
      <c r="G21" s="165">
        <f>F21/E21</f>
        <v>0.14092924456035874</v>
      </c>
      <c r="H21" s="166">
        <f>H16+H12+H8</f>
        <v>9937375038</v>
      </c>
      <c r="I21" s="165">
        <f>H21/E21</f>
        <v>0.14016235745611205</v>
      </c>
      <c r="J21" s="167">
        <f>E21-H21</f>
        <v>60961653905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H24" s="461" t="s">
        <v>338</v>
      </c>
      <c r="I24" s="461"/>
      <c r="J24" s="461"/>
    </row>
    <row r="25" spans="1:11" ht="15" customHeight="1" x14ac:dyDescent="0.25">
      <c r="H25" s="460" t="s">
        <v>328</v>
      </c>
      <c r="I25" s="460"/>
      <c r="J25" s="460"/>
      <c r="K25" s="5"/>
    </row>
    <row r="26" spans="1:11" x14ac:dyDescent="0.25">
      <c r="H26" s="444" t="s">
        <v>128</v>
      </c>
      <c r="I26" s="444"/>
      <c r="J26" s="444"/>
      <c r="K26" s="68"/>
    </row>
    <row r="27" spans="1:11" ht="15" customHeight="1" x14ac:dyDescent="0.25">
      <c r="H27" s="458" t="s">
        <v>329</v>
      </c>
      <c r="I27" s="458"/>
      <c r="J27" s="458"/>
      <c r="K27" s="347"/>
    </row>
    <row r="28" spans="1:11" ht="19.5" customHeight="1" x14ac:dyDescent="0.25">
      <c r="H28" s="458"/>
      <c r="I28" s="426"/>
      <c r="J28" s="426"/>
      <c r="K28" s="426"/>
    </row>
    <row r="29" spans="1:11" x14ac:dyDescent="0.25">
      <c r="H29" s="138"/>
      <c r="I29" s="138"/>
      <c r="J29" s="68"/>
      <c r="K29" s="68"/>
    </row>
    <row r="30" spans="1:11" x14ac:dyDescent="0.25">
      <c r="H30" s="459" t="str">
        <f>+maret!L476</f>
        <v>Drs. AGUNG WIDODO, M.Si</v>
      </c>
      <c r="I30" s="459"/>
      <c r="J30" s="459"/>
      <c r="K30" s="348"/>
    </row>
    <row r="31" spans="1:11" ht="15" customHeight="1" x14ac:dyDescent="0.25">
      <c r="H31" s="460" t="str">
        <f>+maret!L477</f>
        <v>NIP. 19720320 199303 1 005</v>
      </c>
      <c r="I31" s="460"/>
      <c r="J31" s="460"/>
      <c r="K31" s="5"/>
    </row>
  </sheetData>
  <mergeCells count="17">
    <mergeCell ref="H24:J24"/>
    <mergeCell ref="H25:J25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6:J26"/>
    <mergeCell ref="H27:J27"/>
    <mergeCell ref="H30:J30"/>
    <mergeCell ref="H28:K28"/>
    <mergeCell ref="H31:J31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E14"/>
  <sheetViews>
    <sheetView zoomScale="84" zoomScaleNormal="84" workbookViewId="0">
      <selection activeCell="I18" sqref="I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maret'!F9</f>
        <v>215389640</v>
      </c>
      <c r="E4" s="195">
        <f>+'Rekap maret'!H9</f>
        <v>199384320</v>
      </c>
    </row>
    <row r="5" spans="2:5" x14ac:dyDescent="0.25">
      <c r="B5" t="s">
        <v>287</v>
      </c>
      <c r="C5" s="195">
        <f>+'Rekap jan'!C10</f>
        <v>17972244800</v>
      </c>
      <c r="D5" s="195">
        <f>+'Rekap maret'!F10</f>
        <v>2839743000</v>
      </c>
      <c r="E5" s="195">
        <f>+'Rekap maret'!H10</f>
        <v>2823406500</v>
      </c>
    </row>
    <row r="6" spans="2:5" x14ac:dyDescent="0.25">
      <c r="B6" t="s">
        <v>288</v>
      </c>
      <c r="C6" s="195">
        <f>+'Rekap jan'!C11</f>
        <v>659000000</v>
      </c>
      <c r="D6" s="195">
        <f>+'Rekap maret'!F11</f>
        <v>61575000</v>
      </c>
      <c r="E6" s="195">
        <f>+'Rekap maret'!H11</f>
        <v>60320500</v>
      </c>
    </row>
    <row r="7" spans="2:5" x14ac:dyDescent="0.25">
      <c r="B7" s="349" t="s">
        <v>360</v>
      </c>
      <c r="C7" s="195">
        <f>+'Rekap peb'!C13</f>
        <v>2208185650</v>
      </c>
      <c r="D7" s="195">
        <f>+'Rekap maret'!F13</f>
        <v>163983150</v>
      </c>
      <c r="E7" s="195">
        <f>+'Rekap maret'!H13</f>
        <v>148684950</v>
      </c>
    </row>
    <row r="8" spans="2:5" x14ac:dyDescent="0.25">
      <c r="B8" t="s">
        <v>284</v>
      </c>
      <c r="C8" s="195">
        <f>+'Rekap jan'!C14</f>
        <v>6035935000</v>
      </c>
      <c r="D8" s="195">
        <f>+'Rekap maret'!F14</f>
        <v>53855250</v>
      </c>
      <c r="E8" s="195">
        <f>+'Rekap maret'!H14</f>
        <v>52414806</v>
      </c>
    </row>
    <row r="9" spans="2:5" x14ac:dyDescent="0.25">
      <c r="B9" t="s">
        <v>290</v>
      </c>
      <c r="C9" s="195">
        <f>+'Rekap jan'!C15</f>
        <v>2422510300</v>
      </c>
      <c r="D9" s="195">
        <f>+'Rekap maret'!F15</f>
        <v>30892980</v>
      </c>
      <c r="E9" s="195">
        <f>+'Rekap maret'!H15</f>
        <v>29119348</v>
      </c>
    </row>
    <row r="10" spans="2:5" x14ac:dyDescent="0.25">
      <c r="B10" t="s">
        <v>361</v>
      </c>
      <c r="C10" s="195">
        <f>+'Rekap jan'!C17</f>
        <v>1117572900</v>
      </c>
      <c r="D10" s="195">
        <f>+'Rekap maret'!F17</f>
        <v>151817000</v>
      </c>
      <c r="E10" s="195">
        <f>+'Rekap maret'!H15</f>
        <v>29119348</v>
      </c>
    </row>
    <row r="11" spans="2:5" x14ac:dyDescent="0.25">
      <c r="B11" t="s">
        <v>291</v>
      </c>
      <c r="C11" s="195">
        <f>+'Rekap jan'!C18</f>
        <v>1189109400</v>
      </c>
      <c r="D11" s="195">
        <f>+'Rekap maret'!F18</f>
        <v>91197000</v>
      </c>
      <c r="E11" s="195">
        <f>+'Rekap maret'!H18</f>
        <v>90616400</v>
      </c>
    </row>
    <row r="12" spans="2:5" x14ac:dyDescent="0.25">
      <c r="B12" t="s">
        <v>292</v>
      </c>
      <c r="C12" s="195">
        <f>+'Rekap jan'!C19</f>
        <v>12180425000</v>
      </c>
      <c r="D12" s="195">
        <f>+'Rekap maret'!F19</f>
        <v>2367143469</v>
      </c>
      <c r="E12" s="195">
        <f>+'Rekap maret'!H19</f>
        <v>2367016314</v>
      </c>
    </row>
    <row r="13" spans="2:5" x14ac:dyDescent="0.25">
      <c r="B13" t="s">
        <v>293</v>
      </c>
      <c r="C13" s="195">
        <f>+'Rekap jan'!C20</f>
        <v>25992643593</v>
      </c>
      <c r="D13" s="195">
        <f>+'Rekap maret'!F20</f>
        <v>4016150100</v>
      </c>
      <c r="E13" s="195">
        <f>+'Rekap maret'!H20</f>
        <v>4014845400</v>
      </c>
    </row>
    <row r="14" spans="2:5" x14ac:dyDescent="0.25">
      <c r="C14" s="308">
        <f>SUM(C4:C13)</f>
        <v>70899028943</v>
      </c>
    </row>
  </sheetData>
  <pageMargins left="0.7" right="0.7" top="0.75" bottom="0.75" header="0.3" footer="0.3"/>
  <pageSetup paperSize="10000"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590"/>
  <sheetViews>
    <sheetView view="pageBreakPreview" topLeftCell="C205" zoomScale="110" zoomScaleSheetLayoutView="110" workbookViewId="0">
      <selection activeCell="I18" sqref="I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6.28515625" style="68" customWidth="1"/>
    <col min="4" max="4" width="15.85546875" style="5" hidden="1" customWidth="1"/>
    <col min="5" max="5" width="18.1406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7.140625" style="68" customWidth="1"/>
    <col min="20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344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215389640</v>
      </c>
      <c r="H12" s="10">
        <f t="shared" si="0"/>
        <v>125119600</v>
      </c>
      <c r="I12" s="10">
        <f>+G12+H12</f>
        <v>340509240</v>
      </c>
      <c r="J12" s="168">
        <f>+I12/F12</f>
        <v>0.30364592617653807</v>
      </c>
      <c r="K12" s="10">
        <f t="shared" ref="K12:L12" si="1">+K14+K24</f>
        <v>199384320</v>
      </c>
      <c r="L12" s="10">
        <f t="shared" si="1"/>
        <v>113788100</v>
      </c>
      <c r="M12" s="180">
        <f>+K12+L12</f>
        <v>313172420</v>
      </c>
      <c r="N12" s="169">
        <f>+M12/F12</f>
        <v>0.27926857292873397</v>
      </c>
      <c r="O12" s="10">
        <f>+F12-M12</f>
        <v>808229880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197609640</v>
      </c>
      <c r="H14" s="178">
        <f>+H16+H20+H18</f>
        <v>22231000</v>
      </c>
      <c r="I14" s="10">
        <f>+G14+H14</f>
        <v>219840640</v>
      </c>
      <c r="J14" s="168">
        <f>+I14/F14</f>
        <v>0.23802908506862319</v>
      </c>
      <c r="K14" s="178">
        <f>+K16+K20+K18</f>
        <v>181644320</v>
      </c>
      <c r="L14" s="178">
        <f>+L16+L20+L18</f>
        <v>10859500</v>
      </c>
      <c r="M14" s="180">
        <f>+K14+L14</f>
        <v>192503820</v>
      </c>
      <c r="N14" s="169">
        <f>+M14/F14</f>
        <v>0.2084305620053459</v>
      </c>
      <c r="O14" s="10">
        <f>+F14-M14</f>
        <v>731083480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+maret!I16</f>
        <v>122925240</v>
      </c>
      <c r="H16" s="80">
        <v>0</v>
      </c>
      <c r="I16" s="15">
        <f>+G16+H16</f>
        <v>122925240</v>
      </c>
      <c r="J16" s="143">
        <f>+I16/F16</f>
        <v>0.29955485394886489</v>
      </c>
      <c r="K16" s="80">
        <f>+maret!M16</f>
        <v>113681920</v>
      </c>
      <c r="L16" s="80">
        <f>8786500</f>
        <v>8786500</v>
      </c>
      <c r="M16" s="80">
        <f>+K16+L16</f>
        <v>122468420</v>
      </c>
      <c r="N16" s="171">
        <f>+M16/F16</f>
        <v>0.29844163547248914</v>
      </c>
      <c r="O16" s="15">
        <f>+F16-M16</f>
        <v>287891280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+maret!I18</f>
        <v>71882000</v>
      </c>
      <c r="H18" s="79">
        <v>20639000</v>
      </c>
      <c r="I18" s="15">
        <f>+G18+H18</f>
        <v>92521000</v>
      </c>
      <c r="J18" s="143">
        <f>+I18/F18</f>
        <v>0.21605566759358807</v>
      </c>
      <c r="K18" s="80">
        <f>+maret!M18</f>
        <v>65160000</v>
      </c>
      <c r="L18" s="80">
        <f>726000-245000</f>
        <v>481000</v>
      </c>
      <c r="M18" s="80">
        <f>+K18+L18</f>
        <v>65641000</v>
      </c>
      <c r="N18" s="171">
        <f>+M18/F18</f>
        <v>0.1532853090272556</v>
      </c>
      <c r="O18" s="15">
        <f>+F18-M18</f>
        <v>362586600</v>
      </c>
      <c r="Q18" s="6" t="str">
        <f t="shared" ref="Q18" si="5">IF(M18&lt;=I18,"OKE","Salah")</f>
        <v>OKE</v>
      </c>
      <c r="R18" s="6" t="s">
        <v>368</v>
      </c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+maret!I20</f>
        <v>2802400</v>
      </c>
      <c r="H20" s="79">
        <v>1592000</v>
      </c>
      <c r="I20" s="15">
        <f>+G20+H20</f>
        <v>4394400</v>
      </c>
      <c r="J20" s="143">
        <f>+I20/F20</f>
        <v>5.1698823529411762E-2</v>
      </c>
      <c r="K20" s="80">
        <f>+maret!M20</f>
        <v>2802400</v>
      </c>
      <c r="L20" s="80">
        <v>1592000</v>
      </c>
      <c r="M20" s="80">
        <f>+K20+L20</f>
        <v>4394400</v>
      </c>
      <c r="N20" s="171">
        <f>+M20/F20</f>
        <v>5.1698823529411762E-2</v>
      </c>
      <c r="O20" s="15">
        <f>+F20-M20</f>
        <v>80605600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197609640</v>
      </c>
      <c r="H22" s="224">
        <f>+H16+H20+H18</f>
        <v>22231000</v>
      </c>
      <c r="I22" s="141">
        <f>+G22+H22</f>
        <v>219840640</v>
      </c>
      <c r="J22" s="233">
        <f>+I22/F22</f>
        <v>0.23802908506862319</v>
      </c>
      <c r="K22" s="224">
        <f t="shared" ref="K22:L22" si="7">+K16+K20+K18</f>
        <v>181644320</v>
      </c>
      <c r="L22" s="224">
        <f t="shared" si="7"/>
        <v>10859500</v>
      </c>
      <c r="M22" s="232">
        <f>+K22+L22</f>
        <v>192503820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17780000</v>
      </c>
      <c r="H24" s="178">
        <f>+H26</f>
        <v>102888600</v>
      </c>
      <c r="I24" s="10">
        <f>+G24+H24</f>
        <v>120668600</v>
      </c>
      <c r="J24" s="168">
        <f>+I24/F24</f>
        <v>0.61000733008113639</v>
      </c>
      <c r="K24" s="178">
        <f>+K26</f>
        <v>17740000</v>
      </c>
      <c r="L24" s="178">
        <f t="shared" ref="L24:M24" si="9">+L26</f>
        <v>102928600</v>
      </c>
      <c r="M24" s="178">
        <f t="shared" si="9"/>
        <v>120668600</v>
      </c>
      <c r="N24" s="169">
        <f>+M24/F24</f>
        <v>0.61000733008113639</v>
      </c>
      <c r="O24" s="10">
        <f t="shared" ref="O24" si="10">+D24-M24</f>
        <v>77146400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+maret!I26</f>
        <v>17780000</v>
      </c>
      <c r="H26" s="79">
        <f>100000000+2888600</f>
        <v>102888600</v>
      </c>
      <c r="I26" s="15">
        <f>+G26+H26</f>
        <v>120668600</v>
      </c>
      <c r="J26" s="143">
        <f>+I26/F26</f>
        <v>0.61000733008113639</v>
      </c>
      <c r="K26" s="80">
        <f>+maret!M26</f>
        <v>17740000</v>
      </c>
      <c r="L26" s="80">
        <f>100000000+2928600</f>
        <v>102928600</v>
      </c>
      <c r="M26" s="80">
        <f>+K26+L26</f>
        <v>120668600</v>
      </c>
      <c r="N26" s="171">
        <f>+M26/F26</f>
        <v>0.61000733008113639</v>
      </c>
      <c r="O26" s="15">
        <f>+F26-M26</f>
        <v>77146400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17780000</v>
      </c>
      <c r="H28" s="224">
        <f t="shared" si="14"/>
        <v>102888600</v>
      </c>
      <c r="I28" s="232">
        <f>+G28+H28</f>
        <v>120668600</v>
      </c>
      <c r="J28" s="233">
        <f>+I28/F28</f>
        <v>0.61000733008113639</v>
      </c>
      <c r="K28" s="224">
        <f t="shared" ref="K28:L28" si="15">+K26</f>
        <v>17740000</v>
      </c>
      <c r="L28" s="224">
        <f t="shared" si="15"/>
        <v>102928600</v>
      </c>
      <c r="M28" s="232">
        <f>+K28+L28</f>
        <v>120668600</v>
      </c>
      <c r="N28" s="173">
        <f>+M28/F28</f>
        <v>0.61000733008113639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215389640</v>
      </c>
      <c r="H30" s="364">
        <f t="shared" si="16"/>
        <v>125119600</v>
      </c>
      <c r="I30" s="364">
        <f>+G30+H30</f>
        <v>340509240</v>
      </c>
      <c r="J30" s="368">
        <f>+I30/F30</f>
        <v>0.30364592617653807</v>
      </c>
      <c r="K30" s="364">
        <f t="shared" ref="K30:L30" si="17">K12</f>
        <v>199384320</v>
      </c>
      <c r="L30" s="364">
        <f t="shared" si="17"/>
        <v>113788100</v>
      </c>
      <c r="M30" s="364">
        <f>+K30+L30</f>
        <v>313172420</v>
      </c>
      <c r="N30" s="366">
        <f>+M30/F30</f>
        <v>0.27926857292873397</v>
      </c>
      <c r="O30" s="364">
        <f>+F30-M30</f>
        <v>808229880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61575000</v>
      </c>
      <c r="H35" s="11">
        <f t="shared" si="19"/>
        <v>0</v>
      </c>
      <c r="I35" s="10">
        <f>+G35+H35</f>
        <v>61575000</v>
      </c>
      <c r="J35" s="168">
        <f>+I35/F35</f>
        <v>9.3437025796661605E-2</v>
      </c>
      <c r="K35" s="10">
        <f t="shared" ref="K35:L35" si="20">K45</f>
        <v>60320500</v>
      </c>
      <c r="L35" s="10">
        <f t="shared" si="20"/>
        <v>0</v>
      </c>
      <c r="M35" s="10">
        <f>+K35+L35</f>
        <v>60320500</v>
      </c>
      <c r="N35" s="169">
        <f>+M35/F35</f>
        <v>9.1533383915022762E-2</v>
      </c>
      <c r="O35" s="10">
        <f>+F35-M35</f>
        <v>598679500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61575000</v>
      </c>
      <c r="H37" s="194">
        <f>+H39+H41+H43</f>
        <v>0</v>
      </c>
      <c r="I37" s="180">
        <f>+G37+H37</f>
        <v>61575000</v>
      </c>
      <c r="J37" s="168">
        <f>+I37/F37</f>
        <v>9.3437025796661605E-2</v>
      </c>
      <c r="K37" s="194">
        <f>+K39+K41+K43</f>
        <v>60320500</v>
      </c>
      <c r="L37" s="194">
        <f>+L39+L41+L43</f>
        <v>0</v>
      </c>
      <c r="M37" s="180">
        <f>+K37+L37</f>
        <v>60320500</v>
      </c>
      <c r="N37" s="169">
        <f>+M37/F37</f>
        <v>9.1533383915022762E-2</v>
      </c>
      <c r="O37" s="10">
        <f>+F37-M37</f>
        <v>598679500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+maret!I39</f>
        <v>30100000</v>
      </c>
      <c r="H39" s="79">
        <v>0</v>
      </c>
      <c r="I39" s="80">
        <f>+G39+H39</f>
        <v>30100000</v>
      </c>
      <c r="J39" s="143">
        <f>+I39/F39</f>
        <v>0.18812499999999999</v>
      </c>
      <c r="K39" s="80">
        <f>+maret!M39</f>
        <v>29695500</v>
      </c>
      <c r="L39" s="80">
        <v>0</v>
      </c>
      <c r="M39" s="80">
        <f>+K39+L39</f>
        <v>29695500</v>
      </c>
      <c r="N39" s="171">
        <f>+M39/F39</f>
        <v>0.18559687499999999</v>
      </c>
      <c r="O39" s="15">
        <f>+F39-M39</f>
        <v>130304500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+maret!I41</f>
        <v>30825000</v>
      </c>
      <c r="H41" s="30">
        <v>0</v>
      </c>
      <c r="I41" s="80">
        <f>+G41+H41</f>
        <v>30825000</v>
      </c>
      <c r="J41" s="143">
        <f>+I41/F41</f>
        <v>9.6630094043887144E-2</v>
      </c>
      <c r="K41" s="80">
        <f>+maret!M41</f>
        <v>29975000</v>
      </c>
      <c r="L41" s="15">
        <v>0</v>
      </c>
      <c r="M41" s="80">
        <f>+K41+L41</f>
        <v>29975000</v>
      </c>
      <c r="N41" s="171">
        <f>+M41/F41</f>
        <v>9.3965517241379304E-2</v>
      </c>
      <c r="O41" s="15">
        <f>+F41-M41</f>
        <v>289025000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13">
        <v>180000000</v>
      </c>
      <c r="E43" s="14"/>
      <c r="F43" s="13">
        <f>+D43+E43</f>
        <v>180000000</v>
      </c>
      <c r="G43" s="80">
        <f>+maret!I43</f>
        <v>650000</v>
      </c>
      <c r="H43" s="79">
        <v>0</v>
      </c>
      <c r="I43" s="80">
        <f>+G43+H43</f>
        <v>650000</v>
      </c>
      <c r="J43" s="143">
        <f>+I43/F43</f>
        <v>3.6111111111111109E-3</v>
      </c>
      <c r="K43" s="80">
        <f>+maret!M43</f>
        <v>650000</v>
      </c>
      <c r="L43" s="80">
        <v>0</v>
      </c>
      <c r="M43" s="80">
        <f>+K43+L43</f>
        <v>650000</v>
      </c>
      <c r="N43" s="171">
        <f>+M43/F43</f>
        <v>3.6111111111111109E-3</v>
      </c>
      <c r="O43" s="15">
        <f>+F43-M43</f>
        <v>179350000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61575000</v>
      </c>
      <c r="H45" s="10">
        <f>SUM(H39:H43)</f>
        <v>0</v>
      </c>
      <c r="I45" s="10">
        <f>+G45+H45</f>
        <v>61575000</v>
      </c>
      <c r="J45" s="168">
        <f>+I45/F45</f>
        <v>9.3437025796661605E-2</v>
      </c>
      <c r="K45" s="10">
        <f>SUM(K39:K43)</f>
        <v>60320500</v>
      </c>
      <c r="L45" s="10">
        <f>SUM(L39:L43)</f>
        <v>0</v>
      </c>
      <c r="M45" s="10">
        <f>+K45+L45</f>
        <v>60320500</v>
      </c>
      <c r="N45" s="169">
        <f>+M45/F45</f>
        <v>9.1533383915022762E-2</v>
      </c>
      <c r="O45" s="10">
        <f>+D45-M45</f>
        <v>598679500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61575000</v>
      </c>
      <c r="H47" s="387">
        <f t="shared" si="23"/>
        <v>0</v>
      </c>
      <c r="I47" s="387">
        <f>+G47+H47</f>
        <v>61575000</v>
      </c>
      <c r="J47" s="397">
        <f>+I47/F47</f>
        <v>9.3437025796661605E-2</v>
      </c>
      <c r="K47" s="387">
        <f t="shared" ref="K47:M47" si="24">K45</f>
        <v>60320500</v>
      </c>
      <c r="L47" s="387">
        <f t="shared" si="24"/>
        <v>0</v>
      </c>
      <c r="M47" s="387">
        <f t="shared" si="24"/>
        <v>60320500</v>
      </c>
      <c r="N47" s="394">
        <f>+M47/F47</f>
        <v>9.1533383915022762E-2</v>
      </c>
      <c r="O47" s="387">
        <f>+F47-M47</f>
        <v>598679500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2839743000</v>
      </c>
      <c r="H52" s="10">
        <f t="shared" si="26"/>
        <v>2451081500</v>
      </c>
      <c r="I52" s="10">
        <f>+G52+H52</f>
        <v>5290824500</v>
      </c>
      <c r="J52" s="168">
        <f>+I52/F52</f>
        <v>0.29438862862584647</v>
      </c>
      <c r="K52" s="312">
        <f t="shared" ref="K52:L52" si="27">+K62</f>
        <v>2823406500</v>
      </c>
      <c r="L52" s="10">
        <f t="shared" si="27"/>
        <v>2465490500</v>
      </c>
      <c r="M52" s="10">
        <f>+K52+L52</f>
        <v>5288897000</v>
      </c>
      <c r="N52" s="169">
        <f>+M52/F52</f>
        <v>0.29428137991977499</v>
      </c>
      <c r="O52" s="10">
        <f>+F52-M52</f>
        <v>12683347800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80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2839743000</v>
      </c>
      <c r="H54" s="178">
        <f t="shared" si="28"/>
        <v>2451081500</v>
      </c>
      <c r="I54" s="10">
        <f>+G54+H54</f>
        <v>5290824500</v>
      </c>
      <c r="J54" s="168">
        <f>+I54/F54</f>
        <v>0.29438862862584647</v>
      </c>
      <c r="K54" s="314">
        <f>SUM(K56:K60)</f>
        <v>2823406500</v>
      </c>
      <c r="L54" s="314">
        <f>SUM(L56:L60)</f>
        <v>2465490500</v>
      </c>
      <c r="M54" s="180">
        <f>+K54+L54</f>
        <v>5288897000</v>
      </c>
      <c r="N54" s="169">
        <f>+M54/F54</f>
        <v>0.29428137991977499</v>
      </c>
      <c r="O54" s="10">
        <f>+F54-M54</f>
        <v>12683347800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+maret!I56</f>
        <v>1062304500</v>
      </c>
      <c r="H56" s="79">
        <f>31855000+2056950000+27300000+117600000+24500000</f>
        <v>2258205000</v>
      </c>
      <c r="I56" s="15">
        <f>+G56+H56</f>
        <v>3320509500</v>
      </c>
      <c r="J56" s="143">
        <f>+I56/F56</f>
        <v>0.23490700295000047</v>
      </c>
      <c r="K56" s="315">
        <f>+maret!M56</f>
        <v>1052644500</v>
      </c>
      <c r="L56" s="80">
        <f>2056950000+39715000+27300000+117600000+24500000</f>
        <v>2266065000</v>
      </c>
      <c r="M56" s="80">
        <f>+K56+L56</f>
        <v>3318709500</v>
      </c>
      <c r="N56" s="171">
        <f>+M56/F56</f>
        <v>0.2347796632735713</v>
      </c>
      <c r="O56" s="15">
        <f>+F56-M56</f>
        <v>10816712000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+maret!I58</f>
        <v>1558000000</v>
      </c>
      <c r="H58" s="79">
        <v>0</v>
      </c>
      <c r="I58" s="15">
        <f>+G58+H58</f>
        <v>1558000000</v>
      </c>
      <c r="J58" s="143">
        <f>+I58/F58</f>
        <v>0.5500163045590668</v>
      </c>
      <c r="K58" s="315">
        <f>+maret!M58</f>
        <v>1558000000</v>
      </c>
      <c r="L58" s="80">
        <v>0</v>
      </c>
      <c r="M58" s="80">
        <f>+K58+L58</f>
        <v>1558000000</v>
      </c>
      <c r="N58" s="171">
        <f>+M58/F58</f>
        <v>0.5500163045590668</v>
      </c>
      <c r="O58" s="15">
        <f>+F58-M58</f>
        <v>1274643300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+maret!I60</f>
        <v>219438500</v>
      </c>
      <c r="H60" s="79">
        <f>15900000+24000000+46350000+43875000+40000000+22751500</f>
        <v>192876500</v>
      </c>
      <c r="I60" s="15">
        <f>+G60+H60</f>
        <v>412315000</v>
      </c>
      <c r="J60" s="143">
        <f>+I60/F60</f>
        <v>0.41059869744468125</v>
      </c>
      <c r="K60" s="80">
        <f>+maret!M60</f>
        <v>212762000</v>
      </c>
      <c r="L60" s="80">
        <f>15900000+24000000+46350000+43875000+40000000+29300500</f>
        <v>199425500</v>
      </c>
      <c r="M60" s="80">
        <f>+K60+L60</f>
        <v>412187500</v>
      </c>
      <c r="N60" s="171">
        <f>+M60/F60</f>
        <v>0.4104717281762234</v>
      </c>
      <c r="O60" s="15">
        <f>+F60-M60</f>
        <v>591992500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2839743000</v>
      </c>
      <c r="H62" s="364">
        <f>SUM(H56:H60)</f>
        <v>2451081500</v>
      </c>
      <c r="I62" s="364">
        <f>H62+G62</f>
        <v>5290824500</v>
      </c>
      <c r="J62" s="368">
        <f>+I62/F62</f>
        <v>0.29438862862584647</v>
      </c>
      <c r="K62" s="455">
        <f>SUM(K56:K60)</f>
        <v>2823406500</v>
      </c>
      <c r="L62" s="364">
        <f>SUM(L56:L60)</f>
        <v>2465490500</v>
      </c>
      <c r="M62" s="364">
        <f>K62+L62</f>
        <v>5288897000</v>
      </c>
      <c r="N62" s="366">
        <f>+M62/F62</f>
        <v>0.29428137991977499</v>
      </c>
      <c r="O62" s="364">
        <f>+F62-M62</f>
        <v>12683347800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365"/>
      <c r="J63" s="369"/>
      <c r="K63" s="464"/>
      <c r="L63" s="365"/>
      <c r="M63" s="365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7.100000000000001" customHeight="1" x14ac:dyDescent="0.2">
      <c r="A67" s="74"/>
      <c r="B67" s="217" t="s">
        <v>158</v>
      </c>
      <c r="C67" s="33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239">
        <f t="shared" ref="G67" si="33">+G77</f>
        <v>53855250</v>
      </c>
      <c r="H67" s="239">
        <f>+H77</f>
        <v>14000000</v>
      </c>
      <c r="I67" s="10">
        <f>+G67+H67</f>
        <v>67855250</v>
      </c>
      <c r="J67" s="168">
        <f>+I67/F67</f>
        <v>1.1241878847270556E-2</v>
      </c>
      <c r="K67" s="180">
        <f>+K77</f>
        <v>52414806</v>
      </c>
      <c r="L67" s="180">
        <f>+L77</f>
        <v>13569950</v>
      </c>
      <c r="M67" s="180">
        <f>+K67+L67</f>
        <v>65984756</v>
      </c>
      <c r="N67" s="169">
        <f>+M67/F67</f>
        <v>1.0931985848091472E-2</v>
      </c>
      <c r="O67" s="10">
        <f>+F67-M67</f>
        <v>5969950244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180"/>
      <c r="H69" s="187"/>
      <c r="I69" s="180">
        <f>+G69+H69</f>
        <v>0</v>
      </c>
      <c r="J69" s="168">
        <f>+I69/F69</f>
        <v>0</v>
      </c>
      <c r="K69" s="193"/>
      <c r="L69" s="180"/>
      <c r="M69" s="180">
        <f>+K69+L69</f>
        <v>0</v>
      </c>
      <c r="N69" s="169">
        <f>+M69/F69</f>
        <v>0</v>
      </c>
      <c r="O69" s="10">
        <f>+F69-M69</f>
        <v>6035935000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+maret!I71</f>
        <v>14179000</v>
      </c>
      <c r="H71" s="79">
        <v>3750000</v>
      </c>
      <c r="I71" s="80">
        <f>+G71+H71</f>
        <v>17929000</v>
      </c>
      <c r="J71" s="143">
        <f>+I71/F71</f>
        <v>4.7976986887877979E-2</v>
      </c>
      <c r="K71" s="80">
        <f>+maret!M71</f>
        <v>14039106</v>
      </c>
      <c r="L71" s="80">
        <v>3420000</v>
      </c>
      <c r="M71" s="80">
        <f>+K71+L71</f>
        <v>17459106</v>
      </c>
      <c r="N71" s="171">
        <f>+M71/F71</f>
        <v>4.6719577200963341E-2</v>
      </c>
      <c r="O71" s="15">
        <f>+F71-M71</f>
        <v>356240894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+maret!I73</f>
        <v>35916250</v>
      </c>
      <c r="H73" s="79">
        <v>8250000</v>
      </c>
      <c r="I73" s="80">
        <f>+G73+H73</f>
        <v>44166250</v>
      </c>
      <c r="J73" s="143">
        <f>+I73/F73</f>
        <v>0.25773895252345347</v>
      </c>
      <c r="K73" s="80">
        <f>+maret!M73</f>
        <v>34668050</v>
      </c>
      <c r="L73" s="80">
        <v>8153000</v>
      </c>
      <c r="M73" s="80">
        <f>+K73+L73</f>
        <v>42821050</v>
      </c>
      <c r="N73" s="171">
        <f>+M73/F73</f>
        <v>0.24988883079171151</v>
      </c>
      <c r="O73" s="15">
        <f>+F73-M73</f>
        <v>128539350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80">
        <f>+maret!I75</f>
        <v>3760000</v>
      </c>
      <c r="H75" s="79">
        <v>2000000</v>
      </c>
      <c r="I75" s="80">
        <f>+G75+H75</f>
        <v>5760000</v>
      </c>
      <c r="J75" s="143">
        <f>+I75/F75</f>
        <v>1.0490132118478903E-3</v>
      </c>
      <c r="K75" s="80">
        <f>+maret!M75</f>
        <v>3707650</v>
      </c>
      <c r="L75" s="80">
        <v>1996950</v>
      </c>
      <c r="M75" s="80">
        <f>+K75+L75</f>
        <v>5704600</v>
      </c>
      <c r="N75" s="171">
        <f>+M75/F75</f>
        <v>1.0389237444978256E-3</v>
      </c>
      <c r="O75" s="15">
        <f>+F75-M75</f>
        <v>5485170000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364">
        <f>SUM(G71:G75)</f>
        <v>53855250</v>
      </c>
      <c r="H77" s="364">
        <f>SUM(H71:H75)</f>
        <v>14000000</v>
      </c>
      <c r="I77" s="364">
        <f>+G77+H77</f>
        <v>67855250</v>
      </c>
      <c r="J77" s="368">
        <f>+I77/F77</f>
        <v>1.1241878847270556E-2</v>
      </c>
      <c r="K77" s="364">
        <f>SUM(K71:K75)</f>
        <v>52414806</v>
      </c>
      <c r="L77" s="364">
        <f>SUM(L71:L75)</f>
        <v>13569950</v>
      </c>
      <c r="M77" s="364">
        <f>+K77+L77</f>
        <v>65984756</v>
      </c>
      <c r="N77" s="366">
        <f>+M77/F77</f>
        <v>1.0931985848091472E-2</v>
      </c>
      <c r="O77" s="364">
        <f>+F77-M77</f>
        <v>5969950244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396"/>
      <c r="G78" s="396"/>
      <c r="H78" s="396"/>
      <c r="I78" s="396"/>
      <c r="J78" s="369"/>
      <c r="K78" s="39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163983150</v>
      </c>
      <c r="H82" s="10">
        <f t="shared" si="40"/>
        <v>95810000</v>
      </c>
      <c r="I82" s="10">
        <f>+G82+H82</f>
        <v>259793150</v>
      </c>
      <c r="J82" s="168">
        <f>+I82/F82</f>
        <v>0.11765004903459997</v>
      </c>
      <c r="K82" s="10">
        <f t="shared" ref="K82:L82" si="41">+K83+K93</f>
        <v>148684950</v>
      </c>
      <c r="L82" s="10">
        <f t="shared" si="41"/>
        <v>98327999</v>
      </c>
      <c r="M82" s="10">
        <f>+K82+L82</f>
        <v>247012949</v>
      </c>
      <c r="N82" s="169">
        <f>+M82/F82</f>
        <v>0.11186240115272916</v>
      </c>
      <c r="O82" s="10">
        <f>+F82-M82</f>
        <v>1961172701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>+G91</f>
        <v>141766250</v>
      </c>
      <c r="H83" s="10">
        <f>+H91</f>
        <v>95810000</v>
      </c>
      <c r="I83" s="180">
        <f>+G83+H83</f>
        <v>237576250</v>
      </c>
      <c r="J83" s="168">
        <f>+I83/F83</f>
        <v>0.12644554048631049</v>
      </c>
      <c r="K83" s="10">
        <f>+K91</f>
        <v>130035000</v>
      </c>
      <c r="L83" s="10">
        <f>+L91</f>
        <v>98327999</v>
      </c>
      <c r="M83" s="180">
        <f>+K83+L83</f>
        <v>228362999</v>
      </c>
      <c r="N83" s="169">
        <f>+M83/F83</f>
        <v>0.1215419589947639</v>
      </c>
      <c r="O83" s="10">
        <f>+O91+O96</f>
        <v>3840054701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284">
        <f>+maret!I85</f>
        <v>45000000</v>
      </c>
      <c r="H85" s="285">
        <v>0</v>
      </c>
      <c r="I85" s="284">
        <f>G85+H85</f>
        <v>45000000</v>
      </c>
      <c r="J85" s="287">
        <f>+I85/F85</f>
        <v>0.16376028551059912</v>
      </c>
      <c r="K85" s="284">
        <f>+maret!M85</f>
        <v>41800000</v>
      </c>
      <c r="L85" s="284">
        <v>0</v>
      </c>
      <c r="M85" s="284">
        <f>K85+L85</f>
        <v>41800000</v>
      </c>
      <c r="N85" s="288">
        <f>+M85/F85</f>
        <v>0.15211510965206762</v>
      </c>
      <c r="O85" s="286">
        <f>+F85-M85</f>
        <v>232991900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+maret!I87</f>
        <v>63511400</v>
      </c>
      <c r="H87" s="79">
        <f>67200000+12500000+4610000</f>
        <v>84310000</v>
      </c>
      <c r="I87" s="284">
        <f>G87+H87</f>
        <v>147821400</v>
      </c>
      <c r="J87" s="143"/>
      <c r="K87" s="80">
        <f>+maret!M87</f>
        <v>60303000</v>
      </c>
      <c r="L87" s="80">
        <f>67200000+12500000+3888000</f>
        <v>83588000</v>
      </c>
      <c r="M87" s="80">
        <f>+K87+L87</f>
        <v>143891000</v>
      </c>
      <c r="N87" s="171">
        <f>+M87/F87</f>
        <v>0.22128177991189391</v>
      </c>
      <c r="O87" s="286">
        <f>+F87-M87</f>
        <v>506370400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2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+maret!I89</f>
        <v>33254850</v>
      </c>
      <c r="H89" s="79">
        <v>11500000</v>
      </c>
      <c r="I89" s="15">
        <f>+G89+H89</f>
        <v>44754850</v>
      </c>
      <c r="J89" s="143">
        <f>+I89/F89</f>
        <v>4.6921265841549958E-2</v>
      </c>
      <c r="K89" s="80">
        <f>+maret!M89</f>
        <v>27932000</v>
      </c>
      <c r="L89" s="80">
        <v>14739999</v>
      </c>
      <c r="M89" s="80">
        <f>+K89+L89</f>
        <v>42671999</v>
      </c>
      <c r="N89" s="171">
        <f>+M89/F89</f>
        <v>4.473759177093329E-2</v>
      </c>
      <c r="O89" s="15">
        <f>+F89-M89</f>
        <v>911156701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3">SUM(G85:G90)</f>
        <v>141766250</v>
      </c>
      <c r="H91" s="141">
        <f t="shared" si="43"/>
        <v>95810000</v>
      </c>
      <c r="I91" s="232">
        <f>+G91+H91</f>
        <v>237576250</v>
      </c>
      <c r="J91" s="176">
        <f>+I91/F91</f>
        <v>0.12644554048631049</v>
      </c>
      <c r="K91" s="141">
        <f t="shared" ref="K91" si="44">SUM(K85:K90)</f>
        <v>130035000</v>
      </c>
      <c r="L91" s="141">
        <f>SUM(L85:L90)</f>
        <v>98327999</v>
      </c>
      <c r="M91" s="232">
        <f>+K91+L91</f>
        <v>228362999</v>
      </c>
      <c r="N91" s="173">
        <f>+M91/F91</f>
        <v>0.1215419589947639</v>
      </c>
      <c r="O91" s="141">
        <f>SUM(O85:O90)</f>
        <v>1650519001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22216900</v>
      </c>
      <c r="H93" s="10">
        <f t="shared" si="45"/>
        <v>0</v>
      </c>
      <c r="I93" s="180">
        <f>+G93+H93</f>
        <v>22216900</v>
      </c>
      <c r="J93" s="168">
        <f>+I93/F93</f>
        <v>6.7466303516526466E-2</v>
      </c>
      <c r="K93" s="10">
        <f t="shared" ref="K93:L93" si="46">+K95</f>
        <v>18649950</v>
      </c>
      <c r="L93" s="10">
        <f t="shared" si="46"/>
        <v>0</v>
      </c>
      <c r="M93" s="180">
        <f>+K93+L93</f>
        <v>18649950</v>
      </c>
      <c r="N93" s="169">
        <f>+M93/F93</f>
        <v>5.6634507391582205E-2</v>
      </c>
      <c r="O93" s="10">
        <f>+F93-M93</f>
        <v>310653700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>
        <v>-36639150</v>
      </c>
      <c r="F95" s="13">
        <f>+D95+E95</f>
        <v>329303650</v>
      </c>
      <c r="G95" s="80">
        <f>+maret!I95</f>
        <v>22216900</v>
      </c>
      <c r="H95" s="79">
        <v>0</v>
      </c>
      <c r="I95" s="15">
        <f>+G95+H95</f>
        <v>22216900</v>
      </c>
      <c r="J95" s="143">
        <f>+I95/F95</f>
        <v>6.7466303516526466E-2</v>
      </c>
      <c r="K95" s="80">
        <f>+maret!M95</f>
        <v>18649950</v>
      </c>
      <c r="L95" s="80">
        <v>0</v>
      </c>
      <c r="M95" s="80">
        <f>+K95+L95</f>
        <v>18649950</v>
      </c>
      <c r="N95" s="171">
        <f>+M95/F95</f>
        <v>5.6634507391582205E-2</v>
      </c>
      <c r="O95" s="15">
        <f>+F95-M95</f>
        <v>310653700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22216900</v>
      </c>
      <c r="H96" s="10">
        <f t="shared" si="48"/>
        <v>0</v>
      </c>
      <c r="I96" s="180">
        <f>+G96+H96</f>
        <v>22216900</v>
      </c>
      <c r="J96" s="168">
        <f>+I96/F96</f>
        <v>1.0061155863412118E-2</v>
      </c>
      <c r="K96" s="10">
        <f t="shared" ref="K96:L96" si="49">+K95</f>
        <v>18649950</v>
      </c>
      <c r="L96" s="10">
        <f t="shared" si="49"/>
        <v>0</v>
      </c>
      <c r="M96" s="180">
        <f>+K96+L96</f>
        <v>18649950</v>
      </c>
      <c r="N96" s="169">
        <f>+M96/F96</f>
        <v>8.445825195902347E-3</v>
      </c>
      <c r="O96" s="10">
        <f>+F96-M96</f>
        <v>2189535700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356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364">
        <f t="shared" si="50"/>
        <v>163983150</v>
      </c>
      <c r="H98" s="364">
        <f t="shared" si="50"/>
        <v>95810000</v>
      </c>
      <c r="I98" s="364">
        <f t="shared" si="50"/>
        <v>259793150</v>
      </c>
      <c r="J98" s="398">
        <f>+I98/F98</f>
        <v>0.11765004903459997</v>
      </c>
      <c r="K98" s="364">
        <f t="shared" ref="K98:L98" si="51">+K83+K93</f>
        <v>148684950</v>
      </c>
      <c r="L98" s="364">
        <f t="shared" si="51"/>
        <v>98327999</v>
      </c>
      <c r="M98" s="364">
        <f>+K98+L98</f>
        <v>247012949</v>
      </c>
      <c r="N98" s="366">
        <f>+M98/F98</f>
        <v>0.11186240115272916</v>
      </c>
      <c r="O98" s="364">
        <f>+F98-M98</f>
        <v>1961172701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30892980</v>
      </c>
      <c r="H103" s="10">
        <f t="shared" si="54"/>
        <v>52919348</v>
      </c>
      <c r="I103" s="10">
        <f>+G103+H103</f>
        <v>83812328</v>
      </c>
      <c r="J103" s="168">
        <f>+I103/F103</f>
        <v>3.4597305117753267E-2</v>
      </c>
      <c r="K103" s="10">
        <f t="shared" ref="K103:L103" si="55">+K113</f>
        <v>29119348</v>
      </c>
      <c r="L103" s="10">
        <f t="shared" si="55"/>
        <v>48067600</v>
      </c>
      <c r="M103" s="10">
        <f>+K103+L103</f>
        <v>77186948</v>
      </c>
      <c r="N103" s="169">
        <f>+M103/D103</f>
        <v>3.1862381761596635E-2</v>
      </c>
      <c r="O103" s="10">
        <f>+F103-M103</f>
        <v>2345323352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+maret!I105</f>
        <v>30892980</v>
      </c>
      <c r="H105" s="79">
        <f>SUM(H107:H111)</f>
        <v>52919348</v>
      </c>
      <c r="I105" s="15">
        <f>+G105+H105</f>
        <v>83812328</v>
      </c>
      <c r="J105" s="143">
        <f>+I105/F105</f>
        <v>3.4597305117753267E-2</v>
      </c>
      <c r="K105" s="80">
        <f>+maret!M105</f>
        <v>29119348</v>
      </c>
      <c r="L105" s="80">
        <v>0</v>
      </c>
      <c r="M105" s="80">
        <f>+K105+L105</f>
        <v>29119348</v>
      </c>
      <c r="N105" s="171">
        <f>+M105/F105</f>
        <v>1.2020319583367715E-2</v>
      </c>
      <c r="O105" s="15">
        <f>+F105-M105</f>
        <v>2393390952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+maret!I107</f>
        <v>9954030</v>
      </c>
      <c r="H107" s="79">
        <f>23800000+4935048</f>
        <v>28735048</v>
      </c>
      <c r="I107" s="15">
        <f>+G107+H107</f>
        <v>38689078</v>
      </c>
      <c r="J107" s="143">
        <f>+I107/F107</f>
        <v>1.7090784132730484E-2</v>
      </c>
      <c r="K107" s="80">
        <f>+maret!M107</f>
        <v>9928348</v>
      </c>
      <c r="L107" s="80">
        <f>23800000+4333300</f>
        <v>28133300</v>
      </c>
      <c r="M107" s="80">
        <f>+K107+L107</f>
        <v>38061648</v>
      </c>
      <c r="N107" s="171">
        <f>+M107/F107</f>
        <v>1.6813618812626472E-2</v>
      </c>
      <c r="O107" s="15">
        <f>+F107-M107</f>
        <v>2225677552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+maret!I109</f>
        <v>19191000</v>
      </c>
      <c r="H109" s="79">
        <v>0</v>
      </c>
      <c r="I109" s="15">
        <f>+G109+H109</f>
        <v>19191000</v>
      </c>
      <c r="J109" s="143">
        <f>+I109/F109</f>
        <v>0.23527868466575372</v>
      </c>
      <c r="K109" s="80">
        <f>+maret!M109</f>
        <v>19191000</v>
      </c>
      <c r="L109" s="80">
        <v>0</v>
      </c>
      <c r="M109" s="80">
        <f>+K109+L109</f>
        <v>19191000</v>
      </c>
      <c r="N109" s="171">
        <f>+M109/F109</f>
        <v>0.23527868466575372</v>
      </c>
      <c r="O109" s="15">
        <f>+F109-M109</f>
        <v>62376100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4.1" customHeight="1" x14ac:dyDescent="0.2">
      <c r="A111" s="74">
        <v>3</v>
      </c>
      <c r="B111" s="75" t="s">
        <v>257</v>
      </c>
      <c r="C111" s="27" t="s">
        <v>259</v>
      </c>
      <c r="D111" s="13">
        <v>77204000</v>
      </c>
      <c r="E111" s="14"/>
      <c r="F111" s="13">
        <f>+D111+E111</f>
        <v>77204000</v>
      </c>
      <c r="G111" s="80">
        <f>+maret!I111</f>
        <v>1747950</v>
      </c>
      <c r="H111" s="79">
        <v>24184300</v>
      </c>
      <c r="I111" s="15">
        <f>+G111+H111</f>
        <v>25932250</v>
      </c>
      <c r="J111" s="143">
        <f>+I111/F111</f>
        <v>0.33589257033314335</v>
      </c>
      <c r="K111" s="80">
        <f>+maret!M111</f>
        <v>0</v>
      </c>
      <c r="L111" s="80">
        <v>19934300</v>
      </c>
      <c r="M111" s="80">
        <f>+K111+L111</f>
        <v>19934300</v>
      </c>
      <c r="N111" s="171">
        <f>+M111/F111</f>
        <v>0.25820294285270196</v>
      </c>
      <c r="O111" s="15">
        <f>+F111-M111</f>
        <v>57269700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30892980</v>
      </c>
      <c r="H113" s="364">
        <f>SUM(H107:H111)</f>
        <v>52919348</v>
      </c>
      <c r="I113" s="364">
        <f>+G113+H113</f>
        <v>83812328</v>
      </c>
      <c r="J113" s="398">
        <f>+I113/F113</f>
        <v>3.4597305117753267E-2</v>
      </c>
      <c r="K113" s="364">
        <f>SUM(K107:K111)</f>
        <v>29119348</v>
      </c>
      <c r="L113" s="364">
        <f>SUM(L107:L111)</f>
        <v>48067600</v>
      </c>
      <c r="M113" s="364">
        <f>+K113+L113</f>
        <v>77186948</v>
      </c>
      <c r="N113" s="366">
        <f>+M113/F113</f>
        <v>3.1862381761596635E-2</v>
      </c>
      <c r="O113" s="364">
        <f>+F113-M113</f>
        <v>2345323352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244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151817000</v>
      </c>
      <c r="H118" s="10">
        <f t="shared" si="63"/>
        <v>108697000</v>
      </c>
      <c r="I118" s="10">
        <f>+G118+H118</f>
        <v>260514000</v>
      </c>
      <c r="J118" s="168">
        <f>+I118/F118</f>
        <v>0.23310694094318143</v>
      </c>
      <c r="K118" s="10">
        <f t="shared" ref="K118:L118" si="64">+K126</f>
        <v>151566500</v>
      </c>
      <c r="L118" s="10">
        <f t="shared" si="64"/>
        <v>106947000</v>
      </c>
      <c r="M118" s="10">
        <f>+K118+L118</f>
        <v>258513500</v>
      </c>
      <c r="N118" s="169">
        <f>+M118/D118</f>
        <v>0.23131690111669673</v>
      </c>
      <c r="O118" s="10">
        <f>+F118-M118</f>
        <v>859059400</v>
      </c>
      <c r="P118" s="77"/>
      <c r="Q118" s="6" t="str">
        <f t="shared" ref="Q118:Q150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+maret!I120</f>
        <v>106256000</v>
      </c>
      <c r="H120" s="79">
        <f>35700000+54054000+1250000</f>
        <v>91004000</v>
      </c>
      <c r="I120" s="80">
        <f t="shared" ref="I120" si="66">H120+G120</f>
        <v>197260000</v>
      </c>
      <c r="J120" s="143">
        <f>+I120/F120</f>
        <v>0.27944729331652629</v>
      </c>
      <c r="K120" s="80">
        <f>+maret!M120</f>
        <v>106006000</v>
      </c>
      <c r="L120" s="80">
        <f>35700000+54054000+1500000</f>
        <v>91254000</v>
      </c>
      <c r="M120" s="80">
        <f t="shared" ref="M120" si="67">K120+L120</f>
        <v>197260000</v>
      </c>
      <c r="N120" s="171">
        <f>+M120/D120</f>
        <v>0.27944729331652629</v>
      </c>
      <c r="O120" s="15">
        <f>+F120-M120</f>
        <v>508633400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+maret!I122</f>
        <v>11841000</v>
      </c>
      <c r="H122" s="79">
        <v>0</v>
      </c>
      <c r="I122" s="15">
        <f>+G122+H122</f>
        <v>11841000</v>
      </c>
      <c r="J122" s="143">
        <f>+I122/F122</f>
        <v>7.7096368833299692E-2</v>
      </c>
      <c r="K122" s="80">
        <f>+maret!M122</f>
        <v>11841000</v>
      </c>
      <c r="L122" s="80">
        <v>0</v>
      </c>
      <c r="M122" s="80">
        <f>+K122+L122</f>
        <v>11841000</v>
      </c>
      <c r="N122" s="171">
        <f>+M122/D122</f>
        <v>7.7096368833299692E-2</v>
      </c>
      <c r="O122" s="15">
        <f>+F122-M122</f>
        <v>141746000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+maret!I124</f>
        <v>33720000</v>
      </c>
      <c r="H124" s="79">
        <v>17693000</v>
      </c>
      <c r="I124" s="15">
        <f>+G124+H124</f>
        <v>51413000</v>
      </c>
      <c r="J124" s="143">
        <f>+I124/F124</f>
        <v>0.19920377384077415</v>
      </c>
      <c r="K124" s="80">
        <f>+maret!M124</f>
        <v>33719500</v>
      </c>
      <c r="L124" s="80">
        <v>15693000</v>
      </c>
      <c r="M124" s="80">
        <f>+K124+L124</f>
        <v>49412500</v>
      </c>
      <c r="N124" s="171">
        <f>+M124/D124</f>
        <v>0.19145267685035405</v>
      </c>
      <c r="O124" s="15">
        <f>+F124-M124</f>
        <v>208680000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151817000</v>
      </c>
      <c r="H126" s="364">
        <f>SUM(H120:H124)</f>
        <v>108697000</v>
      </c>
      <c r="I126" s="364">
        <f>+G126+H126</f>
        <v>260514000</v>
      </c>
      <c r="J126" s="368">
        <f>+I126/F126</f>
        <v>0.23310694094318143</v>
      </c>
      <c r="K126" s="364">
        <f>SUM(K120:K124)</f>
        <v>151566500</v>
      </c>
      <c r="L126" s="364">
        <f>SUM(L120:L124)</f>
        <v>106947000</v>
      </c>
      <c r="M126" s="364">
        <f>+K126+L126</f>
        <v>258513500</v>
      </c>
      <c r="N126" s="366">
        <v>0</v>
      </c>
      <c r="O126" s="364">
        <f>+F126-M126</f>
        <v>859059400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312">
        <f>+G133+G140+G148+G154+G162+G169</f>
        <v>4016150100</v>
      </c>
      <c r="H131" s="10">
        <f>+H133+H140+H148+H154+H162+H169</f>
        <v>3290266984</v>
      </c>
      <c r="I131" s="10">
        <f>+G131+H131</f>
        <v>7306417084</v>
      </c>
      <c r="J131" s="168">
        <f>+I131/F131</f>
        <v>0.28109557451738648</v>
      </c>
      <c r="K131" s="312">
        <f>+K133+K140+K148+K154+K162+K169</f>
        <v>4014845400</v>
      </c>
      <c r="L131" s="10">
        <f>+L133+L140+L148+L154+L162+L169</f>
        <v>3291381984</v>
      </c>
      <c r="M131" s="10">
        <f>+K131+L131</f>
        <v>7306227384</v>
      </c>
      <c r="N131" s="169">
        <f>+M131/F131</f>
        <v>0.28108827629859157</v>
      </c>
      <c r="O131" s="10">
        <f>+F131-M131</f>
        <v>18686416209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2940000</v>
      </c>
      <c r="H133" s="178">
        <f t="shared" si="72"/>
        <v>0</v>
      </c>
      <c r="I133" s="10">
        <f>+G133+H133</f>
        <v>2940000</v>
      </c>
      <c r="J133" s="168">
        <f>+I133/F133</f>
        <v>0.11297047013391227</v>
      </c>
      <c r="K133" s="178">
        <f t="shared" ref="K133:L133" si="73">+K135+K137</f>
        <v>2940000</v>
      </c>
      <c r="L133" s="178">
        <f t="shared" si="73"/>
        <v>0</v>
      </c>
      <c r="M133" s="180">
        <f>+K133+L133</f>
        <v>2940000</v>
      </c>
      <c r="N133" s="169">
        <f>+M133/F133</f>
        <v>0.11297047013391227</v>
      </c>
      <c r="O133" s="10">
        <f>+F133-M133</f>
        <v>23084500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13">
        <v>11962500</v>
      </c>
      <c r="E135" s="14"/>
      <c r="F135" s="13">
        <f>E135+D135</f>
        <v>11962500</v>
      </c>
      <c r="G135" s="80">
        <f>+maret!I135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+maret!M135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+maret!I137</f>
        <v>0</v>
      </c>
      <c r="H137" s="79">
        <v>0</v>
      </c>
      <c r="I137" s="15">
        <f>+G137+H137</f>
        <v>0</v>
      </c>
      <c r="J137" s="143">
        <f>+I137/F137</f>
        <v>0</v>
      </c>
      <c r="K137" s="80">
        <f>+maret!M137</f>
        <v>0</v>
      </c>
      <c r="L137" s="80">
        <v>0</v>
      </c>
      <c r="M137" s="80">
        <f>+K137+L137</f>
        <v>0</v>
      </c>
      <c r="N137" s="171">
        <f>+M137/F137</f>
        <v>0</v>
      </c>
      <c r="O137" s="15">
        <f>+F137-M137</f>
        <v>14062000</v>
      </c>
      <c r="P137" s="77"/>
      <c r="Q137" s="6" t="str">
        <f t="shared" ref="Q137" si="76">IF(M137&lt;=I137,"OKE","Salah")</f>
        <v>OKE</v>
      </c>
      <c r="R137" s="6"/>
    </row>
    <row r="138" spans="1:23" ht="10.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2940000</v>
      </c>
      <c r="H139" s="141">
        <f>+H135+H137</f>
        <v>0</v>
      </c>
      <c r="I139" s="141">
        <f>+G139+H139</f>
        <v>2940000</v>
      </c>
      <c r="J139" s="233">
        <f>+I139/F139</f>
        <v>0.11297047013391227</v>
      </c>
      <c r="K139" s="141">
        <f>+K135+K137</f>
        <v>2940000</v>
      </c>
      <c r="L139" s="141">
        <f>+L135+L137</f>
        <v>0</v>
      </c>
      <c r="M139" s="232">
        <f>+K139+L139</f>
        <v>2940000</v>
      </c>
      <c r="N139" s="247">
        <f>+M139/F139</f>
        <v>0.11297047013391227</v>
      </c>
      <c r="O139" s="141"/>
      <c r="P139" s="83"/>
      <c r="Q139" s="6"/>
      <c r="R139" s="6"/>
    </row>
    <row r="140" spans="1:23" ht="17.100000000000001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3800431150</v>
      </c>
      <c r="H140" s="178">
        <f t="shared" si="77"/>
        <v>3184379017</v>
      </c>
      <c r="I140" s="10">
        <f>+G140+H140</f>
        <v>6984810167</v>
      </c>
      <c r="J140" s="168">
        <f>+I140/F140</f>
        <v>0.29262927094484747</v>
      </c>
      <c r="K140" s="314">
        <f t="shared" ref="K140:L140" si="78">SUM(K142:K146)</f>
        <v>3799126450</v>
      </c>
      <c r="L140" s="178">
        <f t="shared" si="78"/>
        <v>3185494017</v>
      </c>
      <c r="M140" s="180">
        <f>+K140+L140</f>
        <v>6984620467</v>
      </c>
      <c r="N140" s="169">
        <f>+M140/D140</f>
        <v>0.29262132344572139</v>
      </c>
      <c r="O140" s="10">
        <f>+F140-M140</f>
        <v>16884523397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+maret!I142</f>
        <v>3796278450</v>
      </c>
      <c r="H142" s="79">
        <f>705876089+18029678+7800000+7500000+849930145+877045379+17605876+696520450</f>
        <v>3180307617</v>
      </c>
      <c r="I142" s="15">
        <f>+G142+H142</f>
        <v>6976586067</v>
      </c>
      <c r="J142" s="143">
        <f>+I142/F142</f>
        <v>0.29298474326327872</v>
      </c>
      <c r="K142" s="315">
        <f>+maret!M142</f>
        <v>3796278450</v>
      </c>
      <c r="L142" s="80">
        <f>705876089+18029678+7800000+7500000+849930145+877045379+17605876+696520450</f>
        <v>3180307617</v>
      </c>
      <c r="M142" s="80">
        <f>+K142+L142</f>
        <v>6976586067</v>
      </c>
      <c r="N142" s="171">
        <f>+M142/D142</f>
        <v>0.29298474326327872</v>
      </c>
      <c r="O142" s="15">
        <f>+F142-M142</f>
        <v>16835527797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+maret!I144</f>
        <v>2850800</v>
      </c>
      <c r="H144" s="79">
        <v>3410700</v>
      </c>
      <c r="I144" s="15">
        <f>+G144+H144</f>
        <v>6261500</v>
      </c>
      <c r="J144" s="143">
        <f>+I144/F144</f>
        <v>0.14086614173228346</v>
      </c>
      <c r="K144" s="80">
        <f>+maret!M144</f>
        <v>2348000</v>
      </c>
      <c r="L144" s="80">
        <v>3913500</v>
      </c>
      <c r="M144" s="80">
        <f>+K144+L144</f>
        <v>6261500</v>
      </c>
      <c r="N144" s="171">
        <f>+M144/D144</f>
        <v>0.14086614173228346</v>
      </c>
      <c r="O144" s="15">
        <f>+F144-M144</f>
        <v>38188500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+maret!I146</f>
        <v>1301900</v>
      </c>
      <c r="H146" s="79">
        <v>660700</v>
      </c>
      <c r="I146" s="15">
        <f>+G146+H146</f>
        <v>1962600</v>
      </c>
      <c r="J146" s="143">
        <f>+I146/F146</f>
        <v>0.15600953895071543</v>
      </c>
      <c r="K146" s="80">
        <f>+maret!M146</f>
        <v>500000</v>
      </c>
      <c r="L146" s="80">
        <v>1272900</v>
      </c>
      <c r="M146" s="80">
        <f>+K146+L146</f>
        <v>1772900</v>
      </c>
      <c r="N146" s="171">
        <f>+M146/D146</f>
        <v>0.14093004769475359</v>
      </c>
      <c r="O146" s="15">
        <f>+F146-M146</f>
        <v>10807100</v>
      </c>
      <c r="P146" s="83"/>
      <c r="Q146" s="6" t="str">
        <f t="shared" ref="Q146" si="80">IF(M146&lt;=I146,"OKE","Salah")</f>
        <v>OKE</v>
      </c>
      <c r="R146" s="6"/>
    </row>
    <row r="147" spans="1:19" ht="17.100000000000001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3800431150</v>
      </c>
      <c r="H147" s="141">
        <f>SUM(H142:H146)</f>
        <v>3184379017</v>
      </c>
      <c r="I147" s="141">
        <f>+G147+H147</f>
        <v>6984810167</v>
      </c>
      <c r="J147" s="247"/>
      <c r="K147" s="313">
        <f>SUM(K142:K146)</f>
        <v>3799126450</v>
      </c>
      <c r="L147" s="141">
        <f>SUM(L142:L146)</f>
        <v>3185494017</v>
      </c>
      <c r="M147" s="232">
        <f>+K147+L147</f>
        <v>6984620467</v>
      </c>
      <c r="N147" s="173">
        <f>+M147/D147</f>
        <v>0.29262132344572139</v>
      </c>
      <c r="O147" s="141">
        <f>+F147-M147</f>
        <v>16884523397</v>
      </c>
      <c r="P147" s="83"/>
      <c r="Q147" s="6"/>
      <c r="R147" s="6"/>
    </row>
    <row r="148" spans="1:19" ht="17.100000000000001" customHeight="1" x14ac:dyDescent="0.2">
      <c r="A148" s="74"/>
      <c r="B148" s="214" t="s">
        <v>199</v>
      </c>
      <c r="C148" s="208" t="s">
        <v>198</v>
      </c>
      <c r="D148" s="178">
        <f>+D150</f>
        <v>144000000</v>
      </c>
      <c r="E148" s="14"/>
      <c r="F148" s="183">
        <f>E148+D148</f>
        <v>144000000</v>
      </c>
      <c r="G148" s="178">
        <f>+G150</f>
        <v>0</v>
      </c>
      <c r="H148" s="178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2">IF(M148&lt;=I148,"OKE","Salah")</f>
        <v>OKE</v>
      </c>
      <c r="R148" s="6"/>
    </row>
    <row r="149" spans="1:19" ht="17.100000000000001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13">
        <v>144000000</v>
      </c>
      <c r="E150" s="14"/>
      <c r="F150" s="13">
        <f>E150+D150</f>
        <v>144000000</v>
      </c>
      <c r="G150" s="80">
        <f>+maret!I150</f>
        <v>0</v>
      </c>
      <c r="H150" s="79">
        <v>0</v>
      </c>
      <c r="I150" s="15">
        <f>+G150+H150</f>
        <v>0</v>
      </c>
      <c r="J150" s="143">
        <f>+I150/F150</f>
        <v>0</v>
      </c>
      <c r="K150" s="80">
        <f>+maret!M150</f>
        <v>0</v>
      </c>
      <c r="L150" s="80"/>
      <c r="M150" s="80">
        <f>+K150+L150</f>
        <v>0</v>
      </c>
      <c r="N150" s="171">
        <f>+M150/D150</f>
        <v>0</v>
      </c>
      <c r="O150" s="15">
        <f t="shared" ref="O150" si="83">+D150-M150</f>
        <v>144000000</v>
      </c>
      <c r="P150" s="83"/>
      <c r="Q150" s="6" t="str">
        <f t="shared" si="65"/>
        <v>OKE</v>
      </c>
      <c r="R150" s="6"/>
    </row>
    <row r="151" spans="1:19" ht="13.5" customHeight="1" x14ac:dyDescent="0.2">
      <c r="A151" s="74"/>
      <c r="B151" s="29"/>
      <c r="C151" s="27"/>
      <c r="D151" s="13"/>
      <c r="E151" s="14"/>
      <c r="F151" s="13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224">
        <f>+D150</f>
        <v>144000000</v>
      </c>
      <c r="E152" s="225"/>
      <c r="F152" s="224">
        <f>+F150</f>
        <v>144000000</v>
      </c>
      <c r="G152" s="224">
        <f>+G150</f>
        <v>0</v>
      </c>
      <c r="H152" s="224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178"/>
      <c r="E153" s="221"/>
      <c r="F153" s="178"/>
      <c r="G153" s="178"/>
      <c r="H153" s="178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178">
        <f>+D156+D158</f>
        <v>155412000</v>
      </c>
      <c r="E154" s="221"/>
      <c r="F154" s="178">
        <f>D154</f>
        <v>155412000</v>
      </c>
      <c r="G154" s="178">
        <f t="shared" ref="G154:H154" si="84">+G156+G158</f>
        <v>0</v>
      </c>
      <c r="H154" s="178">
        <f t="shared" si="84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5">IF(M154&lt;=I154,"OKE","Salah")</f>
        <v>OKE</v>
      </c>
      <c r="R154" s="6"/>
    </row>
    <row r="155" spans="1:19" ht="12.75" customHeight="1" x14ac:dyDescent="0.2">
      <c r="A155" s="74"/>
      <c r="B155" s="29"/>
      <c r="C155" s="27"/>
      <c r="D155" s="13"/>
      <c r="E155" s="14"/>
      <c r="F155" s="13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4" customHeight="1" x14ac:dyDescent="0.2">
      <c r="A156" s="205">
        <v>7</v>
      </c>
      <c r="B156" s="220" t="s">
        <v>204</v>
      </c>
      <c r="C156" s="274" t="s">
        <v>205</v>
      </c>
      <c r="D156" s="13">
        <v>0</v>
      </c>
      <c r="E156" s="14"/>
      <c r="F156" s="13">
        <f>D156</f>
        <v>0</v>
      </c>
      <c r="G156" s="80">
        <f>+maret!I156</f>
        <v>0</v>
      </c>
      <c r="H156" s="79"/>
      <c r="I156" s="15">
        <f>+G156+H156</f>
        <v>0</v>
      </c>
      <c r="J156" s="143">
        <v>0</v>
      </c>
      <c r="K156" s="80">
        <f>+maret!M156</f>
        <v>0</v>
      </c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6" si="86">IF(M156&lt;=I156,"OKE","Salah")</f>
        <v>OKE</v>
      </c>
      <c r="R156" s="6"/>
    </row>
    <row r="157" spans="1:19" ht="11.25" customHeight="1" x14ac:dyDescent="0.2">
      <c r="A157" s="74"/>
      <c r="B157" s="95"/>
      <c r="C157" s="27"/>
      <c r="D157" s="13"/>
      <c r="E157" s="14"/>
      <c r="F157" s="13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28.5" customHeight="1" x14ac:dyDescent="0.2">
      <c r="A158" s="74">
        <v>8</v>
      </c>
      <c r="B158" s="95" t="s">
        <v>206</v>
      </c>
      <c r="C158" s="219" t="s">
        <v>207</v>
      </c>
      <c r="D158" s="13">
        <v>155412000</v>
      </c>
      <c r="E158" s="14"/>
      <c r="F158" s="13">
        <f>D158</f>
        <v>155412000</v>
      </c>
      <c r="G158" s="80">
        <f>+maret!I158</f>
        <v>0</v>
      </c>
      <c r="H158" s="79"/>
      <c r="I158" s="15">
        <f>+G158+H158</f>
        <v>0</v>
      </c>
      <c r="J158" s="143">
        <f>+I158/F158</f>
        <v>0</v>
      </c>
      <c r="K158" s="80">
        <f>+maret!M158</f>
        <v>0</v>
      </c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87">IF(M158&lt;=I158,"OKE","Salah")</f>
        <v>OKE</v>
      </c>
      <c r="R158" s="6"/>
    </row>
    <row r="159" spans="1:19" ht="15" customHeight="1" x14ac:dyDescent="0.2">
      <c r="A159" s="74"/>
      <c r="B159" s="95"/>
      <c r="C159" s="27"/>
      <c r="D159" s="13"/>
      <c r="E159" s="14"/>
      <c r="F159" s="13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17.100000000000001" customHeight="1" x14ac:dyDescent="0.2">
      <c r="A160" s="226"/>
      <c r="B160" s="227"/>
      <c r="C160" s="223" t="s">
        <v>171</v>
      </c>
      <c r="D160" s="224">
        <f>+D156+D158</f>
        <v>155412000</v>
      </c>
      <c r="E160" s="224">
        <f t="shared" ref="E160:H160" si="88">+E156+E158</f>
        <v>0</v>
      </c>
      <c r="F160" s="224">
        <f t="shared" si="88"/>
        <v>155412000</v>
      </c>
      <c r="G160" s="224">
        <f t="shared" si="88"/>
        <v>0</v>
      </c>
      <c r="H160" s="224">
        <f t="shared" si="88"/>
        <v>0</v>
      </c>
      <c r="I160" s="141">
        <f>+G160+H160</f>
        <v>0</v>
      </c>
      <c r="J160" s="176">
        <f>+I160/F160</f>
        <v>0</v>
      </c>
      <c r="K160" s="224">
        <f t="shared" ref="K160:L160" si="89">+K156+K158</f>
        <v>0</v>
      </c>
      <c r="L160" s="224">
        <f t="shared" si="89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178"/>
      <c r="E161" s="221"/>
      <c r="F161" s="317"/>
      <c r="G161" s="178"/>
      <c r="H161" s="178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14.1" customHeight="1" x14ac:dyDescent="0.2">
      <c r="A162" s="212"/>
      <c r="B162" s="218"/>
      <c r="C162" s="25" t="s">
        <v>313</v>
      </c>
      <c r="D162" s="178">
        <f>+D164</f>
        <v>1621482000</v>
      </c>
      <c r="E162" s="221"/>
      <c r="F162" s="178">
        <f>+D162+E162</f>
        <v>1621482000</v>
      </c>
      <c r="G162" s="178">
        <f t="shared" ref="G162:H162" si="90">+G164</f>
        <v>212778950</v>
      </c>
      <c r="H162" s="178">
        <f t="shared" si="90"/>
        <v>105887967</v>
      </c>
      <c r="I162" s="10">
        <f>+G162+H162</f>
        <v>318666917</v>
      </c>
      <c r="J162" s="168">
        <f>+I162/F162</f>
        <v>0.19652818656019616</v>
      </c>
      <c r="K162" s="178">
        <f t="shared" ref="K162:L162" si="91">+K164</f>
        <v>212778950</v>
      </c>
      <c r="L162" s="178">
        <f t="shared" si="91"/>
        <v>105887967</v>
      </c>
      <c r="M162" s="180">
        <f>+K162+L162</f>
        <v>318666917</v>
      </c>
      <c r="N162" s="169">
        <f>+M162/D162</f>
        <v>0.19652818656019616</v>
      </c>
      <c r="O162" s="10">
        <f>+F162-M162</f>
        <v>1302815083</v>
      </c>
      <c r="P162" s="208"/>
      <c r="Q162" s="6" t="str">
        <f t="shared" ref="Q162" si="92">IF(M162&lt;=I162,"OKE","Salah")</f>
        <v>OKE</v>
      </c>
      <c r="R162" s="6"/>
    </row>
    <row r="163" spans="1:18" ht="14.1" customHeight="1" x14ac:dyDescent="0.2">
      <c r="A163" s="212"/>
      <c r="B163" s="218"/>
      <c r="C163" s="25"/>
      <c r="D163" s="178"/>
      <c r="E163" s="221"/>
      <c r="F163" s="178"/>
      <c r="G163" s="178"/>
      <c r="H163" s="178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4.1" customHeight="1" x14ac:dyDescent="0.2">
      <c r="A164" s="212"/>
      <c r="B164" s="218"/>
      <c r="C164" s="219" t="s">
        <v>314</v>
      </c>
      <c r="D164" s="13">
        <v>1621482000</v>
      </c>
      <c r="E164" s="14"/>
      <c r="F164" s="13">
        <f>D164</f>
        <v>1621482000</v>
      </c>
      <c r="G164" s="80">
        <f>+maret!I164</f>
        <v>212778950</v>
      </c>
      <c r="H164" s="79">
        <f>4598328+59553184+776455+40960000</f>
        <v>105887967</v>
      </c>
      <c r="I164" s="15">
        <f>+G164+H164</f>
        <v>318666917</v>
      </c>
      <c r="J164" s="143">
        <f>+I164/F164</f>
        <v>0.19652818656019616</v>
      </c>
      <c r="K164" s="80">
        <f>+maret!M164</f>
        <v>212778950</v>
      </c>
      <c r="L164" s="80">
        <f>4598328+59553184+776455+40960000</f>
        <v>105887967</v>
      </c>
      <c r="M164" s="80">
        <f>+K164+L164</f>
        <v>318666917</v>
      </c>
      <c r="N164" s="171">
        <f>+M164/D164</f>
        <v>0.19652818656019616</v>
      </c>
      <c r="O164" s="15">
        <f>+F164-M164</f>
        <v>1302815083</v>
      </c>
      <c r="P164" s="83"/>
      <c r="Q164" s="6" t="str">
        <f t="shared" ref="Q164:Q166" si="93">IF(M164&lt;=I164,"OKE","Salah")</f>
        <v>OKE</v>
      </c>
      <c r="R164" s="6"/>
    </row>
    <row r="165" spans="1:18" ht="14.1" customHeight="1" x14ac:dyDescent="0.2">
      <c r="A165" s="212"/>
      <c r="B165" s="218"/>
      <c r="C165" s="25"/>
      <c r="D165" s="178"/>
      <c r="E165" s="221"/>
      <c r="F165" s="178"/>
      <c r="G165" s="178"/>
      <c r="H165" s="178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14.1" customHeight="1" x14ac:dyDescent="0.2">
      <c r="A166" s="226"/>
      <c r="B166" s="227"/>
      <c r="C166" s="223" t="s">
        <v>171</v>
      </c>
      <c r="D166" s="224">
        <f>+D164</f>
        <v>1621482000</v>
      </c>
      <c r="E166" s="224">
        <f t="shared" ref="E166:F166" si="94">+E164</f>
        <v>0</v>
      </c>
      <c r="F166" s="224">
        <f t="shared" si="94"/>
        <v>1621482000</v>
      </c>
      <c r="G166" s="224">
        <f>+G164</f>
        <v>212778950</v>
      </c>
      <c r="H166" s="224">
        <f>+H164</f>
        <v>105887967</v>
      </c>
      <c r="I166" s="141">
        <f>+G166+H166</f>
        <v>318666917</v>
      </c>
      <c r="J166" s="176">
        <f>+I166/F166</f>
        <v>0.19652818656019616</v>
      </c>
      <c r="K166" s="224">
        <f t="shared" ref="K166:L166" si="95">+K164</f>
        <v>212778950</v>
      </c>
      <c r="L166" s="224">
        <f t="shared" si="95"/>
        <v>105887967</v>
      </c>
      <c r="M166" s="232">
        <f>+K166+L166</f>
        <v>318666917</v>
      </c>
      <c r="N166" s="173">
        <f>+M166/D166</f>
        <v>0.19652818656019616</v>
      </c>
      <c r="O166" s="141">
        <f>+F166-M166</f>
        <v>1302815083</v>
      </c>
      <c r="P166" s="208"/>
      <c r="Q166" s="6" t="str">
        <f t="shared" si="93"/>
        <v>OKE</v>
      </c>
      <c r="R166" s="6"/>
    </row>
    <row r="167" spans="1:18" ht="14.1" customHeight="1" x14ac:dyDescent="0.2">
      <c r="A167" s="212"/>
      <c r="B167" s="218"/>
      <c r="C167" s="25"/>
      <c r="D167" s="178"/>
      <c r="E167" s="221"/>
      <c r="F167" s="178"/>
      <c r="G167" s="178"/>
      <c r="H167" s="178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14.1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14.1" customHeight="1" x14ac:dyDescent="0.2">
      <c r="A169" s="74"/>
      <c r="B169" s="214" t="s">
        <v>304</v>
      </c>
      <c r="C169" s="208" t="s">
        <v>277</v>
      </c>
      <c r="D169" s="178">
        <f>+D171</f>
        <v>176581229</v>
      </c>
      <c r="E169" s="14"/>
      <c r="F169" s="13">
        <f>E169+D169</f>
        <v>176581229</v>
      </c>
      <c r="G169" s="80">
        <f>+maret!I169</f>
        <v>0</v>
      </c>
      <c r="H169" s="178">
        <f>+H171+H174</f>
        <v>0</v>
      </c>
      <c r="I169" s="10">
        <f>+G169+H169</f>
        <v>0</v>
      </c>
      <c r="J169" s="168">
        <f>+I169/F169</f>
        <v>0</v>
      </c>
      <c r="K169" s="178">
        <f>+K171+K174</f>
        <v>0</v>
      </c>
      <c r="L169" s="178">
        <f>+L171+L174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96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13">
        <v>176581229</v>
      </c>
      <c r="E171" s="14"/>
      <c r="F171" s="13">
        <f>E171+D171</f>
        <v>176581229</v>
      </c>
      <c r="G171" s="80">
        <f>+maret!I171</f>
        <v>0</v>
      </c>
      <c r="H171" s="79">
        <v>0</v>
      </c>
      <c r="I171" s="15">
        <f>+G171+H171</f>
        <v>0</v>
      </c>
      <c r="J171" s="143">
        <f>+I171/F171</f>
        <v>0</v>
      </c>
      <c r="K171" s="80">
        <f>+maret!M171</f>
        <v>0</v>
      </c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97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13"/>
      <c r="E172" s="14"/>
      <c r="F172" s="13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8.75" customHeight="1" x14ac:dyDescent="0.2">
      <c r="A173" s="139"/>
      <c r="B173" s="222"/>
      <c r="C173" s="223" t="s">
        <v>171</v>
      </c>
      <c r="D173" s="224">
        <f>+D171</f>
        <v>176581229</v>
      </c>
      <c r="E173" s="224">
        <f>+E171</f>
        <v>0</v>
      </c>
      <c r="F173" s="224">
        <f>+F171</f>
        <v>176581229</v>
      </c>
      <c r="G173" s="224">
        <f>+G171</f>
        <v>0</v>
      </c>
      <c r="H173" s="224">
        <f>+H171</f>
        <v>0</v>
      </c>
      <c r="I173" s="141">
        <f>+G173+H173</f>
        <v>0</v>
      </c>
      <c r="J173" s="176">
        <f>+I173/F173</f>
        <v>0</v>
      </c>
      <c r="K173" s="224">
        <f>+K171</f>
        <v>0</v>
      </c>
      <c r="L173" s="224">
        <f>+L171</f>
        <v>0</v>
      </c>
      <c r="M173" s="232">
        <f>+K173+L173</f>
        <v>0</v>
      </c>
      <c r="N173" s="173">
        <f>+M173/D173</f>
        <v>0</v>
      </c>
      <c r="O173" s="141">
        <f>+F173-M173</f>
        <v>176581229</v>
      </c>
      <c r="P173" s="208"/>
      <c r="Q173" s="6" t="str">
        <f t="shared" ref="Q173" si="98">IF(M173&lt;=I173,"OKE","Salah")</f>
        <v>OKE</v>
      </c>
      <c r="R173" s="6"/>
    </row>
    <row r="174" spans="1:18" ht="14.1" customHeight="1" x14ac:dyDescent="0.2">
      <c r="A174" s="81"/>
      <c r="B174" s="81"/>
      <c r="C174" s="251"/>
      <c r="D174" s="32"/>
      <c r="E174" s="32"/>
      <c r="F174" s="32"/>
      <c r="G174" s="252"/>
      <c r="H174" s="253"/>
      <c r="I174" s="252"/>
      <c r="J174" s="254"/>
      <c r="K174" s="252"/>
      <c r="L174" s="251"/>
      <c r="M174" s="251"/>
      <c r="N174" s="86"/>
      <c r="O174" s="76"/>
      <c r="P174" s="83"/>
      <c r="Q174" s="6"/>
      <c r="R174" s="6"/>
    </row>
    <row r="175" spans="1:18" ht="14.1" customHeight="1" x14ac:dyDescent="0.2">
      <c r="A175" s="388"/>
      <c r="B175" s="388"/>
      <c r="C175" s="395" t="s">
        <v>137</v>
      </c>
      <c r="D175" s="364">
        <f>+D139+D147+D152+D160+D166+D173</f>
        <v>25992643593</v>
      </c>
      <c r="E175" s="364">
        <v>0</v>
      </c>
      <c r="F175" s="364">
        <f>+D175+E175</f>
        <v>25992643593</v>
      </c>
      <c r="G175" s="455">
        <f>+G139+G147+G152+G160+G166+G173</f>
        <v>4016150100</v>
      </c>
      <c r="H175" s="364">
        <f>+H139+H147+H152+H160+H166+H173</f>
        <v>3290266984</v>
      </c>
      <c r="I175" s="364">
        <f>+I139+I147+I152+I160+I166+I173</f>
        <v>7306417084</v>
      </c>
      <c r="J175" s="398">
        <f>+I175/F175</f>
        <v>0.28109557451738648</v>
      </c>
      <c r="K175" s="455">
        <f>+K139+K147+K152+K160+K173+K166</f>
        <v>4014845400</v>
      </c>
      <c r="L175" s="364">
        <f>+L139+L147+L152+L160+L166+L173</f>
        <v>3291381984</v>
      </c>
      <c r="M175" s="364">
        <f>+K175+L175</f>
        <v>7306227384</v>
      </c>
      <c r="N175" s="405">
        <f>+M175/F175</f>
        <v>0.28108827629859157</v>
      </c>
      <c r="O175" s="402">
        <f>+F175-M175</f>
        <v>18686416209</v>
      </c>
      <c r="P175" s="83"/>
      <c r="Q175" s="6" t="str">
        <f t="shared" si="86"/>
        <v>OKE</v>
      </c>
      <c r="R175" s="6"/>
    </row>
    <row r="176" spans="1:18" ht="14.1" customHeight="1" x14ac:dyDescent="0.2">
      <c r="A176" s="389"/>
      <c r="B176" s="389"/>
      <c r="C176" s="396"/>
      <c r="D176" s="396"/>
      <c r="E176" s="396"/>
      <c r="F176" s="396"/>
      <c r="G176" s="456"/>
      <c r="H176" s="396"/>
      <c r="I176" s="396"/>
      <c r="J176" s="404"/>
      <c r="K176" s="456"/>
      <c r="L176" s="396"/>
      <c r="M176" s="365"/>
      <c r="N176" s="406"/>
      <c r="O176" s="403"/>
      <c r="P176" s="83"/>
      <c r="Q176" s="6" t="str">
        <f t="shared" si="86"/>
        <v>OKE</v>
      </c>
      <c r="R176" s="6"/>
    </row>
    <row r="177" spans="1:18" ht="15" customHeight="1" x14ac:dyDescent="0.2">
      <c r="A177" s="74"/>
      <c r="B177" s="74"/>
      <c r="C177" s="76"/>
      <c r="D177" s="15"/>
      <c r="E177" s="15"/>
      <c r="F177" s="15"/>
      <c r="G177" s="80"/>
      <c r="H177" s="79"/>
      <c r="I177" s="80"/>
      <c r="J177" s="86"/>
      <c r="K177" s="80"/>
      <c r="L177" s="76"/>
      <c r="M177" s="76"/>
      <c r="N177" s="86"/>
      <c r="O177" s="10"/>
      <c r="P177" s="83"/>
      <c r="Q177" s="6"/>
      <c r="R177" s="6"/>
    </row>
    <row r="178" spans="1:18" ht="15" customHeight="1" x14ac:dyDescent="0.2">
      <c r="A178" s="74"/>
      <c r="B178" s="74"/>
      <c r="C178" s="244" t="s">
        <v>70</v>
      </c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14.1" customHeight="1" x14ac:dyDescent="0.2">
      <c r="A179" s="74"/>
      <c r="B179" s="74"/>
      <c r="C179" s="76"/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77"/>
      <c r="Q179" s="6"/>
      <c r="R179" s="6"/>
    </row>
    <row r="180" spans="1:18" ht="24.75" customHeight="1" x14ac:dyDescent="0.2">
      <c r="A180" s="7"/>
      <c r="B180" s="206" t="s">
        <v>154</v>
      </c>
      <c r="C180" s="201" t="s">
        <v>153</v>
      </c>
      <c r="D180" s="10">
        <f>+D182</f>
        <v>1189109400</v>
      </c>
      <c r="E180" s="10">
        <f t="shared" ref="E180:H180" si="99">+E182</f>
        <v>0</v>
      </c>
      <c r="F180" s="10">
        <f t="shared" si="99"/>
        <v>1189109400</v>
      </c>
      <c r="G180" s="10">
        <f t="shared" si="99"/>
        <v>91197000</v>
      </c>
      <c r="H180" s="10">
        <f t="shared" si="99"/>
        <v>55570900</v>
      </c>
      <c r="I180" s="10">
        <f>+G180+H180</f>
        <v>146767900</v>
      </c>
      <c r="J180" s="168">
        <f>+I180/F180</f>
        <v>0.12342674273704338</v>
      </c>
      <c r="K180" s="10">
        <f t="shared" ref="K180:L180" si="100">+K182</f>
        <v>90616400</v>
      </c>
      <c r="L180" s="10">
        <f t="shared" si="100"/>
        <v>55697920</v>
      </c>
      <c r="M180" s="10">
        <f>+K180+L180</f>
        <v>146314320</v>
      </c>
      <c r="N180" s="169">
        <f>+M180/F180</f>
        <v>0.12304529759835386</v>
      </c>
      <c r="O180" s="10">
        <f>+F180-M180</f>
        <v>1042795080</v>
      </c>
      <c r="P180" s="77"/>
      <c r="Q180" s="6" t="str">
        <f t="shared" ref="Q180" si="101">IF(M180&lt;=I180,"OKE","Salah")</f>
        <v>OKE</v>
      </c>
      <c r="R180" s="6"/>
    </row>
    <row r="181" spans="1:18" ht="14.1" customHeight="1" x14ac:dyDescent="0.2">
      <c r="A181" s="74"/>
      <c r="B181" s="74"/>
      <c r="C181" s="76"/>
      <c r="D181" s="15"/>
      <c r="E181" s="15"/>
      <c r="F181" s="15"/>
      <c r="G181" s="80"/>
      <c r="H181" s="79"/>
      <c r="I181" s="80"/>
      <c r="J181" s="86"/>
      <c r="K181" s="80"/>
      <c r="L181" s="76"/>
      <c r="M181" s="76"/>
      <c r="N181" s="86"/>
      <c r="O181" s="10"/>
      <c r="P181" s="77"/>
      <c r="Q181" s="6"/>
      <c r="R181" s="6"/>
    </row>
    <row r="182" spans="1:18" ht="18" customHeight="1" x14ac:dyDescent="0.2">
      <c r="A182" s="74"/>
      <c r="B182" s="95" t="s">
        <v>212</v>
      </c>
      <c r="C182" s="25" t="s">
        <v>213</v>
      </c>
      <c r="D182" s="178">
        <f>SUM(D184:D190)</f>
        <v>1189109400</v>
      </c>
      <c r="E182" s="14"/>
      <c r="F182" s="178">
        <f>E182+D182</f>
        <v>1189109400</v>
      </c>
      <c r="G182" s="178">
        <f>SUM(G184:G190)</f>
        <v>91197000</v>
      </c>
      <c r="H182" s="178">
        <f>SUM(H184:H190)</f>
        <v>55570900</v>
      </c>
      <c r="I182" s="10">
        <f>H182+G182</f>
        <v>146767900</v>
      </c>
      <c r="J182" s="168">
        <f>+I182/F182</f>
        <v>0.12342674273704338</v>
      </c>
      <c r="K182" s="178">
        <f>SUM(K184:K190)</f>
        <v>90616400</v>
      </c>
      <c r="L182" s="178">
        <f>SUM(L184:L190)</f>
        <v>55697920</v>
      </c>
      <c r="M182" s="180">
        <f>+K182+L182</f>
        <v>146314320</v>
      </c>
      <c r="N182" s="169">
        <f>+M182/F182</f>
        <v>0.12304529759835386</v>
      </c>
      <c r="O182" s="10">
        <f>+F182-M182</f>
        <v>1042795080</v>
      </c>
      <c r="P182" s="77"/>
      <c r="Q182" s="6" t="str">
        <f t="shared" ref="Q182" si="102">IF(M182&lt;=I182,"OKE","Salah")</f>
        <v>OKE</v>
      </c>
      <c r="R182" s="6"/>
    </row>
    <row r="183" spans="1:18" ht="15.75" customHeight="1" x14ac:dyDescent="0.2">
      <c r="A183" s="74"/>
      <c r="B183" s="95"/>
      <c r="C183" s="27"/>
      <c r="D183" s="13"/>
      <c r="E183" s="14"/>
      <c r="F183" s="13"/>
      <c r="G183" s="78"/>
      <c r="H183" s="79"/>
      <c r="I183" s="15"/>
      <c r="J183" s="143"/>
      <c r="K183" s="80"/>
      <c r="L183" s="80"/>
      <c r="M183" s="80"/>
      <c r="N183" s="171"/>
      <c r="O183" s="15"/>
      <c r="P183" s="77"/>
      <c r="Q183" s="6"/>
      <c r="R183" s="6"/>
    </row>
    <row r="184" spans="1:18" ht="14.1" customHeight="1" x14ac:dyDescent="0.2">
      <c r="A184" s="74">
        <v>1</v>
      </c>
      <c r="B184" s="95" t="s">
        <v>215</v>
      </c>
      <c r="C184" s="27" t="s">
        <v>214</v>
      </c>
      <c r="D184" s="13">
        <v>206216100</v>
      </c>
      <c r="E184" s="14"/>
      <c r="F184" s="13">
        <f>E184+D184</f>
        <v>206216100</v>
      </c>
      <c r="G184" s="80">
        <f>+maret!I184</f>
        <v>25681400</v>
      </c>
      <c r="H184" s="79">
        <f>8400000+2000000+12876200</f>
        <v>23276200</v>
      </c>
      <c r="I184" s="15">
        <f>H184+G184</f>
        <v>48957600</v>
      </c>
      <c r="J184" s="143">
        <f>+I184/F184</f>
        <v>0.23740920325813553</v>
      </c>
      <c r="K184" s="80">
        <f>+maret!M184</f>
        <v>25681400</v>
      </c>
      <c r="L184" s="80">
        <f>8400000+2000000+12806120</f>
        <v>23206120</v>
      </c>
      <c r="M184" s="80">
        <f>+K184+L184</f>
        <v>48887520</v>
      </c>
      <c r="N184" s="171">
        <f>+M184/F184</f>
        <v>0.23706936558299765</v>
      </c>
      <c r="O184" s="15">
        <f>+F184-M184</f>
        <v>157328580</v>
      </c>
      <c r="P184" s="77"/>
      <c r="Q184" s="6" t="str">
        <f t="shared" ref="Q184" si="103">IF(M184&lt;=I184,"OKE","Salah")</f>
        <v>OKE</v>
      </c>
      <c r="R184" s="6"/>
    </row>
    <row r="185" spans="1:18" ht="15.75" customHeight="1" x14ac:dyDescent="0.2">
      <c r="A185" s="74"/>
      <c r="B185" s="95"/>
      <c r="C185" s="27"/>
      <c r="D185" s="13"/>
      <c r="E185" s="14"/>
      <c r="F185" s="13"/>
      <c r="G185" s="78"/>
      <c r="H185" s="79"/>
      <c r="I185" s="15"/>
      <c r="J185" s="143"/>
      <c r="K185" s="80"/>
      <c r="L185" s="80"/>
      <c r="M185" s="80"/>
      <c r="N185" s="171"/>
      <c r="O185" s="15"/>
      <c r="P185" s="77"/>
      <c r="Q185" s="6"/>
      <c r="R185" s="6"/>
    </row>
    <row r="186" spans="1:18" ht="14.1" customHeight="1" x14ac:dyDescent="0.2">
      <c r="A186" s="74">
        <v>2</v>
      </c>
      <c r="B186" s="95" t="s">
        <v>217</v>
      </c>
      <c r="C186" s="27" t="s">
        <v>216</v>
      </c>
      <c r="D186" s="13">
        <v>615087000</v>
      </c>
      <c r="E186" s="14"/>
      <c r="F186" s="13">
        <f>E186+D186</f>
        <v>615087000</v>
      </c>
      <c r="G186" s="80">
        <f>+maret!I186</f>
        <v>30425600</v>
      </c>
      <c r="H186" s="79">
        <v>17302900</v>
      </c>
      <c r="I186" s="15">
        <f>H186+G186</f>
        <v>47728500</v>
      </c>
      <c r="J186" s="143">
        <f>+I186/F186</f>
        <v>7.7596340029946989E-2</v>
      </c>
      <c r="K186" s="80">
        <f>+maret!M186</f>
        <v>29845000</v>
      </c>
      <c r="L186" s="80">
        <v>17500000</v>
      </c>
      <c r="M186" s="80">
        <f>+K186+L186</f>
        <v>47345000</v>
      </c>
      <c r="N186" s="171">
        <f>+M186/F186</f>
        <v>7.6972850995062486E-2</v>
      </c>
      <c r="O186" s="15">
        <f>+F186-M186</f>
        <v>567742000</v>
      </c>
      <c r="P186" s="77"/>
      <c r="Q186" s="6" t="str">
        <f t="shared" ref="Q186" si="104">IF(M186&lt;=I186,"OKE","Salah")</f>
        <v>OKE</v>
      </c>
      <c r="R186" s="6"/>
    </row>
    <row r="187" spans="1:18" ht="17.25" customHeight="1" x14ac:dyDescent="0.2">
      <c r="A187" s="74"/>
      <c r="B187" s="95"/>
      <c r="C187" s="27"/>
      <c r="D187" s="13"/>
      <c r="E187" s="14"/>
      <c r="F187" s="13"/>
      <c r="G187" s="78"/>
      <c r="H187" s="79"/>
      <c r="I187" s="15"/>
      <c r="J187" s="143"/>
      <c r="K187" s="80"/>
      <c r="L187" s="80"/>
      <c r="M187" s="80"/>
      <c r="N187" s="171"/>
      <c r="O187" s="15"/>
      <c r="P187" s="77"/>
      <c r="Q187" s="6"/>
      <c r="R187" s="6"/>
    </row>
    <row r="188" spans="1:18" ht="14.1" customHeight="1" x14ac:dyDescent="0.2">
      <c r="A188" s="74">
        <v>3</v>
      </c>
      <c r="B188" s="95" t="s">
        <v>219</v>
      </c>
      <c r="C188" s="27" t="s">
        <v>218</v>
      </c>
      <c r="D188" s="13">
        <v>257443800</v>
      </c>
      <c r="E188" s="14"/>
      <c r="F188" s="13">
        <f>E188+D188</f>
        <v>257443800</v>
      </c>
      <c r="G188" s="80">
        <f>+maret!I188</f>
        <v>22170000</v>
      </c>
      <c r="H188" s="79">
        <v>9696800</v>
      </c>
      <c r="I188" s="15">
        <f>H188+G188</f>
        <v>31866800</v>
      </c>
      <c r="J188" s="143">
        <f>+I188/F188</f>
        <v>0.12378157873679614</v>
      </c>
      <c r="K188" s="80">
        <f>+maret!M188</f>
        <v>22170000</v>
      </c>
      <c r="L188" s="80">
        <v>9696800</v>
      </c>
      <c r="M188" s="80">
        <f>+K188+L188</f>
        <v>31866800</v>
      </c>
      <c r="N188" s="171">
        <f>+M188/F188</f>
        <v>0.12378157873679614</v>
      </c>
      <c r="O188" s="15">
        <f>+F188-M188</f>
        <v>225577000</v>
      </c>
      <c r="P188" s="77"/>
      <c r="Q188" s="6" t="str">
        <f t="shared" ref="Q188" si="105">IF(M188&lt;=I188,"OKE","Salah")</f>
        <v>OKE</v>
      </c>
      <c r="R188" s="6"/>
    </row>
    <row r="189" spans="1:18" ht="17.25" customHeight="1" x14ac:dyDescent="0.2">
      <c r="A189" s="74"/>
      <c r="B189" s="95"/>
      <c r="C189" s="27"/>
      <c r="D189" s="13"/>
      <c r="E189" s="14"/>
      <c r="F189" s="13"/>
      <c r="G189" s="78"/>
      <c r="H189" s="79"/>
      <c r="I189" s="15"/>
      <c r="J189" s="143"/>
      <c r="K189" s="80"/>
      <c r="L189" s="80"/>
      <c r="M189" s="80"/>
      <c r="N189" s="171"/>
      <c r="O189" s="15"/>
      <c r="P189" s="77"/>
      <c r="Q189" s="6"/>
      <c r="R189" s="6"/>
    </row>
    <row r="190" spans="1:18" ht="27.75" customHeight="1" x14ac:dyDescent="0.2">
      <c r="A190" s="205">
        <v>4</v>
      </c>
      <c r="B190" s="220" t="s">
        <v>221</v>
      </c>
      <c r="C190" s="219" t="s">
        <v>220</v>
      </c>
      <c r="D190" s="213">
        <v>110362500</v>
      </c>
      <c r="E190" s="14"/>
      <c r="F190" s="13">
        <f>E190+D190</f>
        <v>110362500</v>
      </c>
      <c r="G190" s="80">
        <f>+maret!I190</f>
        <v>12920000</v>
      </c>
      <c r="H190" s="79">
        <v>5295000</v>
      </c>
      <c r="I190" s="15">
        <f>H190+G190</f>
        <v>18215000</v>
      </c>
      <c r="J190" s="143">
        <f>+I190/F190</f>
        <v>0.16504700419073506</v>
      </c>
      <c r="K190" s="80">
        <f>+maret!M190</f>
        <v>12920000</v>
      </c>
      <c r="L190" s="80">
        <v>5295000</v>
      </c>
      <c r="M190" s="80">
        <f>+K190+L190</f>
        <v>18215000</v>
      </c>
      <c r="N190" s="171">
        <f>+M190/F190</f>
        <v>0.16504700419073506</v>
      </c>
      <c r="O190" s="15">
        <f>+F190-M190</f>
        <v>92147500</v>
      </c>
      <c r="P190" s="77"/>
      <c r="Q190" s="6" t="str">
        <f t="shared" ref="Q190" si="106">IF(M190&lt;=I190,"OKE","Salah")</f>
        <v>OKE</v>
      </c>
      <c r="R190" s="6"/>
    </row>
    <row r="191" spans="1:18" ht="14.1" customHeight="1" x14ac:dyDescent="0.2">
      <c r="A191" s="139"/>
      <c r="B191" s="139"/>
      <c r="C191" s="140"/>
      <c r="D191" s="142"/>
      <c r="E191" s="142"/>
      <c r="F191" s="142"/>
      <c r="G191" s="188"/>
      <c r="H191" s="246"/>
      <c r="I191" s="188"/>
      <c r="J191" s="247"/>
      <c r="K191" s="188"/>
      <c r="L191" s="245"/>
      <c r="M191" s="245"/>
      <c r="N191" s="247"/>
      <c r="O191" s="141"/>
      <c r="P191" s="77"/>
      <c r="Q191" s="6"/>
      <c r="R191" s="6"/>
    </row>
    <row r="192" spans="1:18" ht="14.1" customHeight="1" x14ac:dyDescent="0.2">
      <c r="A192" s="388"/>
      <c r="B192" s="388"/>
      <c r="C192" s="395" t="s">
        <v>72</v>
      </c>
      <c r="D192" s="364">
        <f>SUM(D184:D190)</f>
        <v>1189109400</v>
      </c>
      <c r="E192" s="364">
        <f>SUM(E184:E190)</f>
        <v>0</v>
      </c>
      <c r="F192" s="364">
        <f>SUM(F184:F190)</f>
        <v>1189109400</v>
      </c>
      <c r="G192" s="364">
        <f>SUM(G184:G190)</f>
        <v>91197000</v>
      </c>
      <c r="H192" s="364">
        <f>SUM(H184:H190)</f>
        <v>55570900</v>
      </c>
      <c r="I192" s="364">
        <f>G192+H192</f>
        <v>146767900</v>
      </c>
      <c r="J192" s="368">
        <f>+I192/F192</f>
        <v>0.12342674273704338</v>
      </c>
      <c r="K192" s="364">
        <f>SUM(K184:K190)</f>
        <v>90616400</v>
      </c>
      <c r="L192" s="364">
        <f>SUM(L184:L190)</f>
        <v>55697920</v>
      </c>
      <c r="M192" s="364">
        <f>+K192+L192</f>
        <v>146314320</v>
      </c>
      <c r="N192" s="366">
        <f>+M192/F192</f>
        <v>0.12304529759835386</v>
      </c>
      <c r="O192" s="364">
        <f>+F192-M192</f>
        <v>1042795080</v>
      </c>
      <c r="P192" s="77"/>
      <c r="Q192" s="6" t="str">
        <f t="shared" ref="Q192:Q227" si="107">IF(M192&lt;=I192,"OKE","Salah")</f>
        <v>OKE</v>
      </c>
      <c r="R192" s="6"/>
    </row>
    <row r="193" spans="1:19" ht="14.1" customHeight="1" x14ac:dyDescent="0.2">
      <c r="A193" s="389"/>
      <c r="B193" s="389"/>
      <c r="C193" s="396"/>
      <c r="D193" s="365"/>
      <c r="E193" s="365"/>
      <c r="F193" s="365"/>
      <c r="G193" s="365"/>
      <c r="H193" s="365"/>
      <c r="I193" s="396"/>
      <c r="J193" s="369"/>
      <c r="K193" s="365"/>
      <c r="L193" s="365"/>
      <c r="M193" s="365"/>
      <c r="N193" s="367"/>
      <c r="O193" s="365"/>
      <c r="P193" s="77"/>
      <c r="Q193" s="6" t="str">
        <f t="shared" si="107"/>
        <v>OKE</v>
      </c>
      <c r="R193" s="6"/>
    </row>
    <row r="194" spans="1:19" ht="14.45" customHeight="1" x14ac:dyDescent="0.2">
      <c r="A194" s="74"/>
      <c r="B194" s="76"/>
      <c r="C194" s="76"/>
      <c r="D194" s="8"/>
      <c r="E194" s="8"/>
      <c r="F194" s="8"/>
      <c r="G194" s="76"/>
      <c r="H194" s="82"/>
      <c r="I194" s="76"/>
      <c r="J194" s="86"/>
      <c r="K194" s="76"/>
      <c r="L194" s="76"/>
      <c r="M194" s="76"/>
      <c r="N194" s="248"/>
      <c r="O194" s="241"/>
      <c r="P194" s="77"/>
      <c r="Q194" s="6"/>
      <c r="R194" s="6"/>
    </row>
    <row r="195" spans="1:19" ht="17.100000000000001" customHeight="1" x14ac:dyDescent="0.2">
      <c r="A195" s="74"/>
      <c r="B195" s="76"/>
      <c r="C195" s="244" t="s">
        <v>73</v>
      </c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86"/>
      <c r="O195" s="76"/>
      <c r="P195" s="77"/>
      <c r="Q195" s="6"/>
      <c r="R195" s="6"/>
    </row>
    <row r="196" spans="1:19" ht="14.25" customHeight="1" x14ac:dyDescent="0.2">
      <c r="A196" s="74"/>
      <c r="B196" s="76"/>
      <c r="C196" s="76"/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ht="27" customHeight="1" x14ac:dyDescent="0.2">
      <c r="A197" s="7"/>
      <c r="B197" s="206" t="s">
        <v>154</v>
      </c>
      <c r="C197" s="201" t="s">
        <v>153</v>
      </c>
      <c r="D197" s="10">
        <f>+D199+D207+D221+D229+D246</f>
        <v>11163425000</v>
      </c>
      <c r="E197" s="10">
        <f>+E199+E207+E221+E229+E246</f>
        <v>0</v>
      </c>
      <c r="F197" s="10">
        <f>+D197+E197</f>
        <v>11163425000</v>
      </c>
      <c r="G197" s="312">
        <f>+G199+G207+G221+G229+G239+G246</f>
        <v>2367143469</v>
      </c>
      <c r="H197" s="10">
        <f>+H199+H207+H221+H229+H239+H246</f>
        <v>924458197</v>
      </c>
      <c r="I197" s="10">
        <f>+G197+H197</f>
        <v>3291601666</v>
      </c>
      <c r="J197" s="168">
        <f>+I197/F197</f>
        <v>0.29485589467390161</v>
      </c>
      <c r="K197" s="312">
        <f>+K199+K207+K221+K229+K246</f>
        <v>2150903814</v>
      </c>
      <c r="L197" s="10">
        <f>+L199+L207+L221+L229+L246</f>
        <v>850135955</v>
      </c>
      <c r="M197" s="10">
        <f>+K197+L197</f>
        <v>3001039769</v>
      </c>
      <c r="N197" s="169">
        <f>+M197/F197</f>
        <v>0.26882787038923989</v>
      </c>
      <c r="O197" s="10">
        <f>+F197-M197</f>
        <v>8162385231</v>
      </c>
      <c r="P197" s="77"/>
      <c r="Q197" s="6" t="str">
        <f t="shared" ref="Q197:Q199" si="108">IF(M197&lt;=I197,"OKE","Salah")</f>
        <v>OKE</v>
      </c>
      <c r="R197" s="6"/>
    </row>
    <row r="198" spans="1:19" ht="15" customHeight="1" x14ac:dyDescent="0.2">
      <c r="A198" s="7"/>
      <c r="B198" s="206"/>
      <c r="C198" s="305"/>
      <c r="D198" s="10"/>
      <c r="E198" s="296"/>
      <c r="F198" s="10"/>
      <c r="G198" s="10"/>
      <c r="H198" s="10"/>
      <c r="I198" s="10"/>
      <c r="J198" s="168"/>
      <c r="K198" s="10"/>
      <c r="L198" s="10"/>
      <c r="M198" s="10"/>
      <c r="N198" s="169"/>
      <c r="O198" s="10"/>
      <c r="P198" s="77"/>
      <c r="Q198" s="6"/>
      <c r="R198" s="6"/>
    </row>
    <row r="199" spans="1:19" ht="15" customHeight="1" x14ac:dyDescent="0.2">
      <c r="A199" s="212"/>
      <c r="B199" s="7" t="s">
        <v>160</v>
      </c>
      <c r="C199" s="208" t="s">
        <v>315</v>
      </c>
      <c r="D199" s="178">
        <f>+D201+D203</f>
        <v>164975000</v>
      </c>
      <c r="E199" s="221"/>
      <c r="F199" s="178">
        <f>+D199+E199</f>
        <v>164975000</v>
      </c>
      <c r="G199" s="178">
        <f t="shared" ref="G199:H199" si="109">+G201+G203</f>
        <v>2250000</v>
      </c>
      <c r="H199" s="178">
        <f t="shared" si="109"/>
        <v>0</v>
      </c>
      <c r="I199" s="10">
        <f>+G199+H199</f>
        <v>2250000</v>
      </c>
      <c r="J199" s="168">
        <f>+I199/F199</f>
        <v>1.3638430065161388E-2</v>
      </c>
      <c r="K199" s="178">
        <f t="shared" ref="K199:L199" si="110">+K201+K203</f>
        <v>2250000</v>
      </c>
      <c r="L199" s="178">
        <f t="shared" si="110"/>
        <v>0</v>
      </c>
      <c r="M199" s="10">
        <f>+K199+L199</f>
        <v>2250000</v>
      </c>
      <c r="N199" s="169">
        <f>+M199/F199</f>
        <v>1.3638430065161388E-2</v>
      </c>
      <c r="O199" s="10">
        <f>+F199-M199</f>
        <v>162725000</v>
      </c>
      <c r="P199" s="77"/>
      <c r="Q199" s="6" t="str">
        <f t="shared" si="108"/>
        <v>OKE</v>
      </c>
      <c r="R199" s="6"/>
    </row>
    <row r="200" spans="1:19" ht="15" customHeight="1" x14ac:dyDescent="0.2">
      <c r="A200" s="74"/>
      <c r="B200" s="74"/>
      <c r="C200" s="76"/>
      <c r="D200" s="15"/>
      <c r="E200" s="17"/>
      <c r="F200" s="15"/>
      <c r="G200" s="78"/>
      <c r="H200" s="79"/>
      <c r="I200" s="80"/>
      <c r="J200" s="86"/>
      <c r="K200" s="78"/>
      <c r="L200" s="76"/>
      <c r="M200" s="76"/>
      <c r="N200" s="86"/>
      <c r="O200" s="10"/>
      <c r="P200" s="77"/>
      <c r="Q200" s="6"/>
      <c r="R200" s="6"/>
    </row>
    <row r="201" spans="1:19" ht="15" customHeight="1" x14ac:dyDescent="0.2">
      <c r="A201" s="74">
        <v>1</v>
      </c>
      <c r="B201" s="28" t="s">
        <v>164</v>
      </c>
      <c r="C201" s="83" t="s">
        <v>316</v>
      </c>
      <c r="D201" s="13">
        <v>139975000</v>
      </c>
      <c r="E201" s="14"/>
      <c r="F201" s="13">
        <f>+D201+E201</f>
        <v>139975000</v>
      </c>
      <c r="G201" s="80">
        <f>+maret!I201</f>
        <v>0</v>
      </c>
      <c r="H201" s="79">
        <v>0</v>
      </c>
      <c r="I201" s="15">
        <v>0</v>
      </c>
      <c r="J201" s="143">
        <f>+I201/F201</f>
        <v>0</v>
      </c>
      <c r="K201" s="80">
        <f>+maret!M201</f>
        <v>0</v>
      </c>
      <c r="L201" s="80">
        <v>0</v>
      </c>
      <c r="M201" s="80">
        <f>+K201+L201</f>
        <v>0</v>
      </c>
      <c r="N201" s="171">
        <f>+M201/F201</f>
        <v>0</v>
      </c>
      <c r="O201" s="15">
        <f>+F201-M201</f>
        <v>139975000</v>
      </c>
      <c r="P201" s="77"/>
      <c r="Q201" s="6" t="str">
        <f t="shared" ref="Q201" si="111">IF(M201&lt;=I201,"OKE","Salah")</f>
        <v>OKE</v>
      </c>
      <c r="R201" s="6"/>
    </row>
    <row r="202" spans="1:19" ht="15" customHeight="1" x14ac:dyDescent="0.2">
      <c r="A202" s="74"/>
      <c r="B202" s="74"/>
      <c r="C202" s="83"/>
      <c r="D202" s="15"/>
      <c r="E202" s="17"/>
      <c r="F202" s="15"/>
      <c r="G202" s="78"/>
      <c r="H202" s="79"/>
      <c r="I202" s="80"/>
      <c r="J202" s="86"/>
      <c r="K202" s="78"/>
      <c r="L202" s="76"/>
      <c r="M202" s="76"/>
      <c r="N202" s="86"/>
      <c r="O202" s="10"/>
      <c r="P202" s="77"/>
      <c r="Q202" s="6"/>
      <c r="R202" s="6"/>
    </row>
    <row r="203" spans="1:19" ht="26.25" customHeight="1" x14ac:dyDescent="0.2">
      <c r="A203" s="74">
        <v>2</v>
      </c>
      <c r="B203" s="28" t="s">
        <v>165</v>
      </c>
      <c r="C203" s="304" t="s">
        <v>317</v>
      </c>
      <c r="D203" s="13">
        <v>25000000</v>
      </c>
      <c r="E203" s="14"/>
      <c r="F203" s="13">
        <f>+D203+E203</f>
        <v>25000000</v>
      </c>
      <c r="G203" s="80">
        <f>+maret!I203</f>
        <v>2250000</v>
      </c>
      <c r="H203" s="79">
        <v>0</v>
      </c>
      <c r="I203" s="15">
        <f>+G203+H203</f>
        <v>2250000</v>
      </c>
      <c r="J203" s="143">
        <f>+I203/F203</f>
        <v>0.09</v>
      </c>
      <c r="K203" s="80">
        <f>+maret!M203</f>
        <v>2250000</v>
      </c>
      <c r="L203" s="80">
        <v>0</v>
      </c>
      <c r="M203" s="80">
        <f>+K203+L203</f>
        <v>2250000</v>
      </c>
      <c r="N203" s="171">
        <f>+M203/F203</f>
        <v>0.09</v>
      </c>
      <c r="O203" s="15">
        <f>+F203-M203</f>
        <v>22750000</v>
      </c>
      <c r="P203" s="77"/>
      <c r="Q203" s="6" t="str">
        <f t="shared" ref="Q203" si="112">IF(M203&lt;=I203,"OKE","Salah")</f>
        <v>OKE</v>
      </c>
      <c r="R203" s="6"/>
    </row>
    <row r="204" spans="1:19" ht="15" customHeight="1" x14ac:dyDescent="0.2">
      <c r="A204" s="74"/>
      <c r="B204" s="28"/>
      <c r="C204" s="304"/>
      <c r="D204" s="13"/>
      <c r="E204" s="14"/>
      <c r="F204" s="13"/>
      <c r="G204" s="78"/>
      <c r="H204" s="79"/>
      <c r="I204" s="15"/>
      <c r="J204" s="143"/>
      <c r="K204" s="78"/>
      <c r="L204" s="80"/>
      <c r="M204" s="80"/>
      <c r="N204" s="171"/>
      <c r="O204" s="15"/>
      <c r="P204" s="77"/>
      <c r="Q204" s="6"/>
      <c r="R204" s="6"/>
    </row>
    <row r="205" spans="1:19" ht="15" customHeight="1" x14ac:dyDescent="0.2">
      <c r="A205" s="81"/>
      <c r="B205" s="81"/>
      <c r="C205" s="23" t="s">
        <v>172</v>
      </c>
      <c r="D205" s="24">
        <f>+D201+D203</f>
        <v>164975000</v>
      </c>
      <c r="E205" s="24">
        <f t="shared" ref="E205" si="113">+E201+E203</f>
        <v>0</v>
      </c>
      <c r="F205" s="24">
        <f>+D205+E205</f>
        <v>164975000</v>
      </c>
      <c r="G205" s="24">
        <f t="shared" ref="G205:H205" si="114">+G201+G203</f>
        <v>2250000</v>
      </c>
      <c r="H205" s="24">
        <f t="shared" si="114"/>
        <v>0</v>
      </c>
      <c r="I205" s="24">
        <f>+G205+H205</f>
        <v>2250000</v>
      </c>
      <c r="J205" s="175">
        <f>+I205/F205</f>
        <v>1.3638430065161388E-2</v>
      </c>
      <c r="K205" s="24">
        <f t="shared" ref="K205:L205" si="115">+K201+K203</f>
        <v>2250000</v>
      </c>
      <c r="L205" s="24">
        <f t="shared" si="115"/>
        <v>0</v>
      </c>
      <c r="M205" s="24">
        <f>+K205+L205</f>
        <v>2250000</v>
      </c>
      <c r="N205" s="172">
        <f>+M205/F205</f>
        <v>1.3638430065161388E-2</v>
      </c>
      <c r="O205" s="24">
        <f>+F205-M205</f>
        <v>162725000</v>
      </c>
      <c r="P205" s="77"/>
      <c r="Q205" s="6" t="str">
        <f t="shared" ref="Q205" si="116">IF(M205&lt;=I205,"OKE","Salah")</f>
        <v>OKE</v>
      </c>
      <c r="R205" s="6"/>
    </row>
    <row r="206" spans="1:19" ht="14.1" customHeight="1" x14ac:dyDescent="0.2">
      <c r="A206" s="74"/>
      <c r="B206" s="28"/>
      <c r="C206" s="83"/>
      <c r="D206" s="13"/>
      <c r="E206" s="14"/>
      <c r="F206" s="183"/>
      <c r="G206" s="78"/>
      <c r="H206" s="79"/>
      <c r="I206" s="15"/>
      <c r="J206" s="143"/>
      <c r="K206" s="78"/>
      <c r="L206" s="80"/>
      <c r="M206" s="80"/>
      <c r="N206" s="171"/>
      <c r="O206" s="15"/>
      <c r="P206" s="77"/>
      <c r="Q206" s="6"/>
      <c r="R206" s="6"/>
    </row>
    <row r="207" spans="1:19" s="77" customFormat="1" ht="14.1" customHeight="1" x14ac:dyDescent="0.2">
      <c r="A207" s="212"/>
      <c r="B207" s="7" t="s">
        <v>160</v>
      </c>
      <c r="C207" s="208" t="s">
        <v>159</v>
      </c>
      <c r="D207" s="178">
        <f>SUM(D209:D217)</f>
        <v>5266450000</v>
      </c>
      <c r="E207" s="221"/>
      <c r="F207" s="178">
        <f>+D207+E207</f>
        <v>5266450000</v>
      </c>
      <c r="G207" s="314">
        <f t="shared" ref="G207:H207" si="117">SUM(G209:G217)</f>
        <v>1115857400</v>
      </c>
      <c r="H207" s="178">
        <f t="shared" si="117"/>
        <v>437957750</v>
      </c>
      <c r="I207" s="10">
        <f>+G207+H207</f>
        <v>1553815150</v>
      </c>
      <c r="J207" s="168">
        <f>+I207/F207</f>
        <v>0.29504033077310143</v>
      </c>
      <c r="K207" s="314">
        <f t="shared" ref="K207:L207" si="118">SUM(K209:K217)</f>
        <v>1115857400</v>
      </c>
      <c r="L207" s="178">
        <f t="shared" si="118"/>
        <v>437885750</v>
      </c>
      <c r="M207" s="10">
        <f>+K207+L207</f>
        <v>1553743150</v>
      </c>
      <c r="N207" s="169">
        <f>+M207/F207</f>
        <v>0.29502665932459249</v>
      </c>
      <c r="O207" s="10">
        <f>+F207-M207</f>
        <v>3712706850</v>
      </c>
      <c r="Q207" s="6" t="str">
        <f t="shared" si="107"/>
        <v>OKE</v>
      </c>
      <c r="R207" s="6"/>
      <c r="S207" s="69"/>
    </row>
    <row r="208" spans="1:19" s="77" customFormat="1" ht="14.1" customHeight="1" x14ac:dyDescent="0.2">
      <c r="A208" s="74"/>
      <c r="B208" s="74"/>
      <c r="C208" s="76"/>
      <c r="D208" s="15"/>
      <c r="E208" s="17"/>
      <c r="F208" s="15"/>
      <c r="G208" s="78"/>
      <c r="H208" s="79"/>
      <c r="I208" s="80"/>
      <c r="J208" s="86"/>
      <c r="K208" s="78"/>
      <c r="L208" s="76"/>
      <c r="M208" s="76"/>
      <c r="N208" s="86"/>
      <c r="O208" s="10"/>
      <c r="Q208" s="6"/>
      <c r="R208" s="6"/>
      <c r="S208" s="69"/>
    </row>
    <row r="209" spans="1:19" s="77" customFormat="1" ht="15" customHeight="1" x14ac:dyDescent="0.2">
      <c r="A209" s="74">
        <v>3</v>
      </c>
      <c r="B209" s="28" t="s">
        <v>164</v>
      </c>
      <c r="C209" s="83" t="s">
        <v>161</v>
      </c>
      <c r="D209" s="13">
        <v>1660000000</v>
      </c>
      <c r="E209" s="14"/>
      <c r="F209" s="13">
        <f>+D209+E209</f>
        <v>1660000000</v>
      </c>
      <c r="G209" s="80">
        <f>+maret!I209</f>
        <v>336631200</v>
      </c>
      <c r="H209" s="80">
        <f>152539000+66390100</f>
        <v>218929100</v>
      </c>
      <c r="I209" s="15">
        <f>+G209+H209</f>
        <v>555560300</v>
      </c>
      <c r="J209" s="143">
        <f>+I209/F209</f>
        <v>0.33467487951807229</v>
      </c>
      <c r="K209" s="80">
        <f>+maret!M209</f>
        <v>336631200</v>
      </c>
      <c r="L209" s="80">
        <f>152539000+66390100</f>
        <v>218929100</v>
      </c>
      <c r="M209" s="80">
        <f>+K209+L209</f>
        <v>555560300</v>
      </c>
      <c r="N209" s="171">
        <f>+M209/F209</f>
        <v>0.33467487951807229</v>
      </c>
      <c r="O209" s="15">
        <f>+F209-M209</f>
        <v>1104439700</v>
      </c>
      <c r="Q209" s="6" t="str">
        <f t="shared" si="107"/>
        <v>OKE</v>
      </c>
      <c r="R209" s="6"/>
      <c r="S209" s="68"/>
    </row>
    <row r="210" spans="1:19" s="77" customFormat="1" ht="14.1" customHeight="1" x14ac:dyDescent="0.2">
      <c r="A210" s="74"/>
      <c r="B210" s="74"/>
      <c r="C210" s="83"/>
      <c r="D210" s="15"/>
      <c r="E210" s="17"/>
      <c r="F210" s="15"/>
      <c r="G210" s="78"/>
      <c r="H210" s="79"/>
      <c r="I210" s="15">
        <f>+G210+H210</f>
        <v>0</v>
      </c>
      <c r="J210" s="86"/>
      <c r="K210" s="78"/>
      <c r="L210" s="76"/>
      <c r="M210" s="76"/>
      <c r="N210" s="86"/>
      <c r="O210" s="10"/>
      <c r="Q210" s="6"/>
      <c r="R210" s="6"/>
      <c r="S210" s="68"/>
    </row>
    <row r="211" spans="1:19" s="77" customFormat="1" ht="15.75" customHeight="1" x14ac:dyDescent="0.2">
      <c r="A211" s="74">
        <v>4</v>
      </c>
      <c r="B211" s="28" t="s">
        <v>165</v>
      </c>
      <c r="C211" s="83" t="s">
        <v>162</v>
      </c>
      <c r="D211" s="13">
        <v>575000000</v>
      </c>
      <c r="E211" s="14"/>
      <c r="F211" s="13">
        <f>+D211+E211</f>
        <v>575000000</v>
      </c>
      <c r="G211" s="80">
        <f>+maret!I211</f>
        <v>71724200</v>
      </c>
      <c r="H211" s="79">
        <f>14091300+10840500</f>
        <v>24931800</v>
      </c>
      <c r="I211" s="15">
        <f>+G211+H211</f>
        <v>96656000</v>
      </c>
      <c r="J211" s="143">
        <f>+I211/F211</f>
        <v>0.16809739130434784</v>
      </c>
      <c r="K211" s="80">
        <f>+maret!M211</f>
        <v>71724200</v>
      </c>
      <c r="L211" s="80">
        <f>14019300+10840500</f>
        <v>24859800</v>
      </c>
      <c r="M211" s="80">
        <f>+K211+L211</f>
        <v>96584000</v>
      </c>
      <c r="N211" s="171">
        <f>+M211/F211</f>
        <v>0.16797217391304348</v>
      </c>
      <c r="O211" s="15">
        <f>+F211-M211</f>
        <v>478416000</v>
      </c>
      <c r="Q211" s="6" t="str">
        <f t="shared" si="107"/>
        <v>OKE</v>
      </c>
      <c r="R211" s="6"/>
      <c r="S211" s="69"/>
    </row>
    <row r="212" spans="1:19" s="77" customFormat="1" ht="14.1" customHeight="1" x14ac:dyDescent="0.2">
      <c r="A212" s="74"/>
      <c r="B212" s="74"/>
      <c r="C212" s="76"/>
      <c r="D212" s="15"/>
      <c r="E212" s="17"/>
      <c r="F212" s="15"/>
      <c r="G212" s="78"/>
      <c r="H212" s="79"/>
      <c r="I212" s="80"/>
      <c r="J212" s="86"/>
      <c r="K212" s="78"/>
      <c r="L212" s="76"/>
      <c r="M212" s="76"/>
      <c r="N212" s="86"/>
      <c r="O212" s="10"/>
      <c r="Q212" s="6"/>
      <c r="R212" s="6"/>
      <c r="S212" s="68"/>
    </row>
    <row r="213" spans="1:19" s="77" customFormat="1" ht="17.25" customHeight="1" x14ac:dyDescent="0.2">
      <c r="A213" s="74">
        <v>5</v>
      </c>
      <c r="B213" s="28" t="s">
        <v>166</v>
      </c>
      <c r="C213" s="83" t="s">
        <v>163</v>
      </c>
      <c r="D213" s="13">
        <v>270000000</v>
      </c>
      <c r="E213" s="14"/>
      <c r="F213" s="13">
        <f>+D213+E213</f>
        <v>270000000</v>
      </c>
      <c r="G213" s="80">
        <f>+maret!I213</f>
        <v>34554000</v>
      </c>
      <c r="H213" s="79">
        <v>16803850</v>
      </c>
      <c r="I213" s="15">
        <f>+G213+H213</f>
        <v>51357850</v>
      </c>
      <c r="J213" s="143">
        <f>+I213/F213</f>
        <v>0.19021425925925925</v>
      </c>
      <c r="K213" s="80">
        <f>+maret!M213</f>
        <v>34554000</v>
      </c>
      <c r="L213" s="80">
        <v>16803850</v>
      </c>
      <c r="M213" s="80">
        <f>+K213+L213</f>
        <v>51357850</v>
      </c>
      <c r="N213" s="171">
        <f>+M213/F213</f>
        <v>0.19021425925925925</v>
      </c>
      <c r="O213" s="15">
        <f>+F213-M213</f>
        <v>218642150</v>
      </c>
      <c r="Q213" s="6" t="str">
        <f t="shared" si="107"/>
        <v>OKE</v>
      </c>
      <c r="R213" s="6"/>
      <c r="S213" s="68"/>
    </row>
    <row r="214" spans="1:19" s="77" customFormat="1" ht="14.1" customHeight="1" x14ac:dyDescent="0.2">
      <c r="A214" s="74"/>
      <c r="B214" s="28"/>
      <c r="C214" s="83"/>
      <c r="D214" s="13"/>
      <c r="E214" s="14"/>
      <c r="F214" s="13"/>
      <c r="G214" s="78"/>
      <c r="H214" s="79"/>
      <c r="I214" s="15"/>
      <c r="J214" s="143"/>
      <c r="K214" s="78"/>
      <c r="L214" s="80"/>
      <c r="M214" s="80"/>
      <c r="N214" s="171"/>
      <c r="O214" s="15"/>
      <c r="Q214" s="6"/>
      <c r="R214" s="6"/>
      <c r="S214" s="68"/>
    </row>
    <row r="215" spans="1:19" s="77" customFormat="1" ht="17.25" customHeight="1" x14ac:dyDescent="0.2">
      <c r="A215" s="74">
        <v>6</v>
      </c>
      <c r="B215" s="28" t="s">
        <v>168</v>
      </c>
      <c r="C215" s="83" t="s">
        <v>167</v>
      </c>
      <c r="D215" s="13">
        <v>1800000000</v>
      </c>
      <c r="E215" s="14"/>
      <c r="F215" s="13">
        <f>+D215+E215</f>
        <v>1800000000</v>
      </c>
      <c r="G215" s="80">
        <f>+maret!I215</f>
        <v>403734000</v>
      </c>
      <c r="H215" s="79">
        <f>29120000+22375000+125798000</f>
        <v>177293000</v>
      </c>
      <c r="I215" s="15">
        <f>+G215+H215</f>
        <v>581027000</v>
      </c>
      <c r="J215" s="143">
        <f>+I215/F215</f>
        <v>0.32279277777777776</v>
      </c>
      <c r="K215" s="80">
        <f>+maret!M215</f>
        <v>403734000</v>
      </c>
      <c r="L215" s="80">
        <f>29120000+22375000+125798000</f>
        <v>177293000</v>
      </c>
      <c r="M215" s="80">
        <f>+K215+L215</f>
        <v>581027000</v>
      </c>
      <c r="N215" s="171">
        <f>+M215/F215</f>
        <v>0.32279277777777776</v>
      </c>
      <c r="O215" s="15">
        <f>+F215-M215</f>
        <v>1218973000</v>
      </c>
      <c r="Q215" s="6" t="str">
        <f t="shared" si="107"/>
        <v>OKE</v>
      </c>
      <c r="R215" s="6"/>
      <c r="S215" s="68"/>
    </row>
    <row r="216" spans="1:19" s="77" customFormat="1" ht="14.1" customHeight="1" x14ac:dyDescent="0.2">
      <c r="A216" s="74"/>
      <c r="B216" s="28"/>
      <c r="C216" s="83"/>
      <c r="D216" s="13"/>
      <c r="E216" s="14"/>
      <c r="F216" s="13"/>
      <c r="G216" s="78"/>
      <c r="H216" s="79"/>
      <c r="I216" s="15"/>
      <c r="J216" s="143"/>
      <c r="K216" s="78"/>
      <c r="L216" s="80"/>
      <c r="M216" s="80"/>
      <c r="N216" s="171"/>
      <c r="O216" s="15"/>
      <c r="Q216" s="6"/>
      <c r="R216" s="6"/>
      <c r="S216" s="68"/>
    </row>
    <row r="217" spans="1:19" s="77" customFormat="1" ht="16.5" customHeight="1" x14ac:dyDescent="0.2">
      <c r="A217" s="74">
        <v>7</v>
      </c>
      <c r="B217" s="28" t="s">
        <v>170</v>
      </c>
      <c r="C217" s="83" t="s">
        <v>169</v>
      </c>
      <c r="D217" s="13">
        <v>961450000</v>
      </c>
      <c r="E217" s="14"/>
      <c r="F217" s="13">
        <f>+D217+E217</f>
        <v>961450000</v>
      </c>
      <c r="G217" s="80">
        <f>+maret!I217</f>
        <v>269214000</v>
      </c>
      <c r="H217" s="79">
        <v>0</v>
      </c>
      <c r="I217" s="15">
        <f>+G217+H217</f>
        <v>269214000</v>
      </c>
      <c r="J217" s="143">
        <f>+I217/F217</f>
        <v>0.28000832076551041</v>
      </c>
      <c r="K217" s="80">
        <f>+maret!M217</f>
        <v>269214000</v>
      </c>
      <c r="L217" s="80">
        <v>0</v>
      </c>
      <c r="M217" s="80">
        <f>+K217+L217</f>
        <v>269214000</v>
      </c>
      <c r="N217" s="171">
        <f>+M217/F217</f>
        <v>0.28000832076551041</v>
      </c>
      <c r="O217" s="15">
        <f>+F217-M217</f>
        <v>692236000</v>
      </c>
      <c r="Q217" s="6" t="str">
        <f t="shared" si="107"/>
        <v>OKE</v>
      </c>
      <c r="R217" s="6"/>
      <c r="S217" s="68"/>
    </row>
    <row r="218" spans="1:19" s="77" customFormat="1" ht="14.1" customHeight="1" x14ac:dyDescent="0.2">
      <c r="A218" s="74"/>
      <c r="B218" s="28"/>
      <c r="C218" s="83"/>
      <c r="D218" s="13"/>
      <c r="E218" s="14"/>
      <c r="F218" s="13"/>
      <c r="G218" s="78"/>
      <c r="H218" s="79"/>
      <c r="I218" s="15"/>
      <c r="J218" s="143"/>
      <c r="K218" s="78"/>
      <c r="L218" s="80"/>
      <c r="M218" s="80"/>
      <c r="N218" s="171"/>
      <c r="O218" s="15"/>
      <c r="Q218" s="6"/>
      <c r="R218" s="6"/>
      <c r="S218" s="68"/>
    </row>
    <row r="219" spans="1:19" ht="14.1" customHeight="1" x14ac:dyDescent="0.2">
      <c r="A219" s="81"/>
      <c r="B219" s="81"/>
      <c r="C219" s="23" t="s">
        <v>172</v>
      </c>
      <c r="D219" s="24">
        <f>SUM(D209:D217)</f>
        <v>5266450000</v>
      </c>
      <c r="E219" s="24">
        <f t="shared" ref="E219" si="119">SUM(E209:E217)</f>
        <v>0</v>
      </c>
      <c r="F219" s="141">
        <f>+D219+E219</f>
        <v>5266450000</v>
      </c>
      <c r="G219" s="316">
        <f>SUM(G209:G217)</f>
        <v>1115857400</v>
      </c>
      <c r="H219" s="24">
        <f>SUM(H209:H217)</f>
        <v>437957750</v>
      </c>
      <c r="I219" s="24">
        <f>+G219+H219</f>
        <v>1553815150</v>
      </c>
      <c r="J219" s="175">
        <f>+I219/F219</f>
        <v>0.29504033077310143</v>
      </c>
      <c r="K219" s="316">
        <f>SUM(K209:K218)</f>
        <v>1115857400</v>
      </c>
      <c r="L219" s="24">
        <f>SUM(L209:L218)</f>
        <v>437885750</v>
      </c>
      <c r="M219" s="24">
        <f>+K219+L219</f>
        <v>1553743150</v>
      </c>
      <c r="N219" s="172">
        <f>+M219/F219</f>
        <v>0.29502665932459249</v>
      </c>
      <c r="O219" s="24">
        <f>+F219-M219</f>
        <v>3712706850</v>
      </c>
      <c r="P219" s="77"/>
      <c r="Q219" s="6" t="str">
        <f t="shared" si="107"/>
        <v>OKE</v>
      </c>
      <c r="R219" s="6"/>
    </row>
    <row r="220" spans="1:19" ht="14.1" customHeight="1" x14ac:dyDescent="0.2">
      <c r="A220" s="74"/>
      <c r="B220" s="74"/>
      <c r="C220" s="76"/>
      <c r="D220" s="15"/>
      <c r="E220" s="15"/>
      <c r="F220" s="15"/>
      <c r="G220" s="80"/>
      <c r="H220" s="79"/>
      <c r="I220" s="80"/>
      <c r="J220" s="86"/>
      <c r="K220" s="80"/>
      <c r="L220" s="76"/>
      <c r="M220" s="76"/>
      <c r="N220" s="86"/>
      <c r="O220" s="10"/>
      <c r="P220" s="77"/>
      <c r="Q220" s="6"/>
      <c r="R220" s="6"/>
    </row>
    <row r="221" spans="1:19" ht="14.1" customHeight="1" x14ac:dyDescent="0.2">
      <c r="A221" s="206"/>
      <c r="B221" s="206" t="s">
        <v>173</v>
      </c>
      <c r="C221" s="255" t="s">
        <v>177</v>
      </c>
      <c r="D221" s="209">
        <f>D227</f>
        <v>1022000000</v>
      </c>
      <c r="E221" s="10">
        <f>E227</f>
        <v>0</v>
      </c>
      <c r="F221" s="10">
        <f>+D221+E221</f>
        <v>1022000000</v>
      </c>
      <c r="G221" s="10">
        <f>G227</f>
        <v>313668360</v>
      </c>
      <c r="H221" s="10">
        <f>H227</f>
        <v>89824022</v>
      </c>
      <c r="I221" s="10">
        <f>+G221+H221</f>
        <v>403492382</v>
      </c>
      <c r="J221" s="168">
        <f>+I221/F221</f>
        <v>0.39480663600782778</v>
      </c>
      <c r="K221" s="10">
        <f>K227</f>
        <v>313668360</v>
      </c>
      <c r="L221" s="10">
        <f>L227</f>
        <v>89824022</v>
      </c>
      <c r="M221" s="10">
        <f>+K221+L221</f>
        <v>403492382</v>
      </c>
      <c r="N221" s="169">
        <f>+M221/F221</f>
        <v>0.39480663600782778</v>
      </c>
      <c r="O221" s="10">
        <f>+F221-M221</f>
        <v>618507618</v>
      </c>
      <c r="P221" s="77"/>
      <c r="Q221" s="6" t="str">
        <f t="shared" si="107"/>
        <v>OKE</v>
      </c>
      <c r="R221" s="6"/>
    </row>
    <row r="222" spans="1:19" ht="14.1" customHeight="1" x14ac:dyDescent="0.2">
      <c r="A222" s="74"/>
      <c r="B222" s="74"/>
      <c r="C222" s="76"/>
      <c r="D222" s="15"/>
      <c r="E222" s="15"/>
      <c r="F222" s="15"/>
      <c r="G222" s="80"/>
      <c r="H222" s="79"/>
      <c r="I222" s="80"/>
      <c r="J222" s="86"/>
      <c r="K222" s="80"/>
      <c r="L222" s="76"/>
      <c r="M222" s="76"/>
      <c r="N222" s="86"/>
      <c r="O222" s="10"/>
      <c r="P222" s="77"/>
      <c r="Q222" s="6"/>
      <c r="R222" s="6"/>
    </row>
    <row r="223" spans="1:19" ht="14.1" customHeight="1" x14ac:dyDescent="0.2">
      <c r="A223" s="74">
        <v>8</v>
      </c>
      <c r="B223" s="28" t="s">
        <v>174</v>
      </c>
      <c r="C223" s="27" t="s">
        <v>60</v>
      </c>
      <c r="D223" s="13">
        <v>22000000</v>
      </c>
      <c r="E223" s="14"/>
      <c r="F223" s="13">
        <f>+D223+E223</f>
        <v>22000000</v>
      </c>
      <c r="G223" s="80">
        <f>+maret!I223</f>
        <v>2200000</v>
      </c>
      <c r="H223" s="79">
        <v>1900000</v>
      </c>
      <c r="I223" s="15">
        <f t="shared" ref="I223:I225" si="120">+G223+H223</f>
        <v>4100000</v>
      </c>
      <c r="J223" s="143">
        <f>+I223/F223</f>
        <v>0.18636363636363637</v>
      </c>
      <c r="K223" s="80">
        <f>+maret!M223</f>
        <v>2200000</v>
      </c>
      <c r="L223" s="80">
        <v>1900000</v>
      </c>
      <c r="M223" s="80">
        <f t="shared" ref="M223" si="121">+K223+L223</f>
        <v>4100000</v>
      </c>
      <c r="N223" s="171">
        <f>+M223/F223</f>
        <v>0.18636363636363637</v>
      </c>
      <c r="O223" s="15">
        <f>+F223-M223</f>
        <v>17900000</v>
      </c>
      <c r="P223" s="77"/>
      <c r="Q223" s="6" t="str">
        <f t="shared" si="107"/>
        <v>OKE</v>
      </c>
      <c r="R223" s="6"/>
    </row>
    <row r="224" spans="1:19" ht="14.1" customHeight="1" x14ac:dyDescent="0.2">
      <c r="A224" s="74"/>
      <c r="B224" s="28"/>
      <c r="C224" s="27"/>
      <c r="D224" s="13"/>
      <c r="E224" s="14"/>
      <c r="F224" s="13"/>
      <c r="G224" s="78"/>
      <c r="H224" s="79"/>
      <c r="I224" s="15"/>
      <c r="J224" s="143"/>
      <c r="K224" s="78"/>
      <c r="L224" s="80"/>
      <c r="M224" s="80"/>
      <c r="N224" s="171"/>
      <c r="O224" s="15"/>
      <c r="P224" s="77"/>
      <c r="Q224" s="6"/>
      <c r="R224" s="6"/>
    </row>
    <row r="225" spans="1:18" ht="14.1" customHeight="1" x14ac:dyDescent="0.2">
      <c r="A225" s="74">
        <v>9</v>
      </c>
      <c r="B225" s="28" t="s">
        <v>175</v>
      </c>
      <c r="C225" s="276" t="s">
        <v>176</v>
      </c>
      <c r="D225" s="13">
        <v>1000000000</v>
      </c>
      <c r="E225" s="14"/>
      <c r="F225" s="13">
        <f>+D225+E225</f>
        <v>1000000000</v>
      </c>
      <c r="G225" s="80">
        <f>+maret!I225</f>
        <v>311468360</v>
      </c>
      <c r="H225" s="79">
        <f>8159700+66955332+2806990+10002000</f>
        <v>87924022</v>
      </c>
      <c r="I225" s="15">
        <f t="shared" si="120"/>
        <v>399392382</v>
      </c>
      <c r="J225" s="143">
        <f>+I225/F225</f>
        <v>0.39939238199999999</v>
      </c>
      <c r="K225" s="80">
        <f>+maret!M225</f>
        <v>311468360</v>
      </c>
      <c r="L225" s="80">
        <f>8159700+66955332+2806990+10002000</f>
        <v>87924022</v>
      </c>
      <c r="M225" s="80">
        <f>+K225+L225</f>
        <v>399392382</v>
      </c>
      <c r="N225" s="171">
        <f>+M225/F225</f>
        <v>0.39939238199999999</v>
      </c>
      <c r="O225" s="15">
        <f>+F225-M225</f>
        <v>600607618</v>
      </c>
      <c r="P225" s="77"/>
      <c r="Q225" s="6" t="str">
        <f>IF(M225&lt;=I225,"OKE","Salah")</f>
        <v>OKE</v>
      </c>
      <c r="R225" s="6"/>
    </row>
    <row r="226" spans="1:18" ht="14.1" customHeight="1" x14ac:dyDescent="0.2">
      <c r="A226" s="74"/>
      <c r="B226" s="29"/>
      <c r="C226" s="27"/>
      <c r="D226" s="13"/>
      <c r="E226" s="14"/>
      <c r="F226" s="13"/>
      <c r="G226" s="78"/>
      <c r="H226" s="79"/>
      <c r="I226" s="15"/>
      <c r="J226" s="143"/>
      <c r="K226" s="80"/>
      <c r="L226" s="80"/>
      <c r="M226" s="80"/>
      <c r="N226" s="171"/>
      <c r="O226" s="15"/>
      <c r="P226" s="77"/>
      <c r="Q226" s="6"/>
      <c r="R226" s="6"/>
    </row>
    <row r="227" spans="1:18" ht="14.1" customHeight="1" x14ac:dyDescent="0.2">
      <c r="A227" s="81"/>
      <c r="B227" s="81"/>
      <c r="C227" s="23" t="s">
        <v>172</v>
      </c>
      <c r="D227" s="24">
        <f>+D223+D225</f>
        <v>1022000000</v>
      </c>
      <c r="E227" s="24">
        <f>SUM(E223:E226)</f>
        <v>0</v>
      </c>
      <c r="F227" s="141">
        <f>SUM(F223:F226)</f>
        <v>1022000000</v>
      </c>
      <c r="G227" s="24">
        <f t="shared" ref="G227:H227" si="122">+G223+G225</f>
        <v>313668360</v>
      </c>
      <c r="H227" s="24">
        <f t="shared" si="122"/>
        <v>89824022</v>
      </c>
      <c r="I227" s="24">
        <f>+G227+H227</f>
        <v>403492382</v>
      </c>
      <c r="J227" s="175">
        <f>+I227/F227</f>
        <v>0.39480663600782778</v>
      </c>
      <c r="K227" s="24">
        <f>SUM(K223:K226)</f>
        <v>313668360</v>
      </c>
      <c r="L227" s="24">
        <f>SUM(L223:L226)</f>
        <v>89824022</v>
      </c>
      <c r="M227" s="24">
        <f>+K227+L227</f>
        <v>403492382</v>
      </c>
      <c r="N227" s="172">
        <f>+M227/F227</f>
        <v>0.39480663600782778</v>
      </c>
      <c r="O227" s="24">
        <f>+F227-M227</f>
        <v>618507618</v>
      </c>
      <c r="P227" s="77"/>
      <c r="Q227" s="6" t="str">
        <f t="shared" si="107"/>
        <v>OKE</v>
      </c>
      <c r="R227" s="6"/>
    </row>
    <row r="228" spans="1:18" ht="15" customHeight="1" x14ac:dyDescent="0.2">
      <c r="A228" s="87"/>
      <c r="B228" s="87"/>
      <c r="C228" s="148"/>
      <c r="D228" s="149"/>
      <c r="E228" s="149"/>
      <c r="F228" s="149"/>
      <c r="G228" s="149"/>
      <c r="H228" s="149"/>
      <c r="I228" s="149"/>
      <c r="J228" s="177"/>
      <c r="K228" s="149"/>
      <c r="L228" s="149"/>
      <c r="M228" s="149"/>
      <c r="N228" s="174"/>
      <c r="O228" s="149"/>
      <c r="P228" s="77"/>
      <c r="Q228" s="6"/>
      <c r="R228" s="6"/>
    </row>
    <row r="229" spans="1:18" ht="15" customHeight="1" x14ac:dyDescent="0.2">
      <c r="A229" s="206"/>
      <c r="B229" s="206" t="s">
        <v>179</v>
      </c>
      <c r="C229" s="282" t="s">
        <v>178</v>
      </c>
      <c r="D229" s="209">
        <f>+D237</f>
        <v>2410000000</v>
      </c>
      <c r="E229" s="10">
        <f t="shared" ref="E229:F229" si="123">+E237</f>
        <v>0</v>
      </c>
      <c r="F229" s="10">
        <f t="shared" si="123"/>
        <v>2410000000</v>
      </c>
      <c r="G229" s="10">
        <f>+G237</f>
        <v>364463930</v>
      </c>
      <c r="H229" s="11">
        <f>+H237</f>
        <v>133060563</v>
      </c>
      <c r="I229" s="10">
        <f>+G229+H229</f>
        <v>497524493</v>
      </c>
      <c r="J229" s="168">
        <f>+I229/F229</f>
        <v>0.20644169834024897</v>
      </c>
      <c r="K229" s="10">
        <f>+K237</f>
        <v>364463180</v>
      </c>
      <c r="L229" s="10">
        <f>+L237</f>
        <v>133061313</v>
      </c>
      <c r="M229" s="10">
        <f>+K229+L229</f>
        <v>497524493</v>
      </c>
      <c r="N229" s="169">
        <f>+M229/F229</f>
        <v>0.20644169834024897</v>
      </c>
      <c r="O229" s="10">
        <f>+F229-M229</f>
        <v>1912475507</v>
      </c>
      <c r="P229" s="77"/>
      <c r="Q229" s="6" t="str">
        <f t="shared" ref="Q229:Q237" si="124">IF(M229&lt;=I229,"OKE","Salah")</f>
        <v>OKE</v>
      </c>
      <c r="R229" s="6"/>
    </row>
    <row r="230" spans="1:18" ht="15" customHeight="1" x14ac:dyDescent="0.2">
      <c r="A230" s="74"/>
      <c r="B230" s="74"/>
      <c r="C230" s="76"/>
      <c r="D230" s="15"/>
      <c r="E230" s="15"/>
      <c r="F230" s="15"/>
      <c r="G230" s="80"/>
      <c r="H230" s="79"/>
      <c r="I230" s="80"/>
      <c r="J230" s="86"/>
      <c r="K230" s="80"/>
      <c r="L230" s="76"/>
      <c r="M230" s="76"/>
      <c r="N230" s="86"/>
      <c r="O230" s="10"/>
      <c r="P230" s="77"/>
      <c r="Q230" s="6"/>
      <c r="R230" s="6"/>
    </row>
    <row r="231" spans="1:18" ht="28.5" customHeight="1" x14ac:dyDescent="0.2">
      <c r="A231" s="74">
        <v>10</v>
      </c>
      <c r="B231" s="207" t="s">
        <v>181</v>
      </c>
      <c r="C231" s="276" t="s">
        <v>180</v>
      </c>
      <c r="D231" s="213">
        <v>910000000</v>
      </c>
      <c r="E231" s="14"/>
      <c r="F231" s="13">
        <f>+D231+E231</f>
        <v>910000000</v>
      </c>
      <c r="G231" s="80">
        <f>+maret!I231</f>
        <v>154395930</v>
      </c>
      <c r="H231" s="79">
        <f>28568740+40575873</f>
        <v>69144613</v>
      </c>
      <c r="I231" s="15">
        <f>+G231+H231</f>
        <v>223540543</v>
      </c>
      <c r="J231" s="143">
        <f>+I231/F231</f>
        <v>0.24564894835164836</v>
      </c>
      <c r="K231" s="80">
        <f>+maret!M231</f>
        <v>154395930</v>
      </c>
      <c r="L231" s="80">
        <f>28568740+40575873</f>
        <v>69144613</v>
      </c>
      <c r="M231" s="80">
        <f>+K231+L231</f>
        <v>223540543</v>
      </c>
      <c r="N231" s="171">
        <f>+M231/F231</f>
        <v>0.24564894835164836</v>
      </c>
      <c r="O231" s="15">
        <f>+F231-M231</f>
        <v>686459457</v>
      </c>
      <c r="P231" s="77"/>
      <c r="Q231" s="6" t="str">
        <f t="shared" ref="Q231" si="125">IF(M231&lt;=I231,"OKE","Salah")</f>
        <v>OKE</v>
      </c>
      <c r="R231" s="6"/>
    </row>
    <row r="232" spans="1:18" ht="15" customHeight="1" x14ac:dyDescent="0.2">
      <c r="A232" s="74"/>
      <c r="B232" s="74"/>
      <c r="C232" s="83"/>
      <c r="D232" s="15"/>
      <c r="E232" s="17"/>
      <c r="F232" s="15"/>
      <c r="G232" s="78"/>
      <c r="H232" s="79"/>
      <c r="I232" s="80"/>
      <c r="J232" s="86"/>
      <c r="K232" s="78"/>
      <c r="L232" s="76"/>
      <c r="M232" s="76"/>
      <c r="N232" s="86"/>
      <c r="O232" s="10"/>
      <c r="P232" s="77"/>
      <c r="Q232" s="6"/>
      <c r="R232" s="6"/>
    </row>
    <row r="233" spans="1:18" ht="30.75" customHeight="1" x14ac:dyDescent="0.2">
      <c r="A233" s="74">
        <v>11</v>
      </c>
      <c r="B233" s="220" t="s">
        <v>209</v>
      </c>
      <c r="C233" s="274" t="s">
        <v>208</v>
      </c>
      <c r="D233" s="13">
        <v>1000000000</v>
      </c>
      <c r="E233" s="14"/>
      <c r="F233" s="13">
        <f>E233+D233</f>
        <v>1000000000</v>
      </c>
      <c r="G233" s="80">
        <f>+maret!I233</f>
        <v>136110500</v>
      </c>
      <c r="H233" s="79">
        <f>11565000+30461700</f>
        <v>42026700</v>
      </c>
      <c r="I233" s="15">
        <f>+G233+H233</f>
        <v>178137200</v>
      </c>
      <c r="J233" s="143">
        <f>+I233/F233</f>
        <v>0.1781372</v>
      </c>
      <c r="K233" s="80">
        <f>+maret!M233</f>
        <v>136110500</v>
      </c>
      <c r="L233" s="80">
        <f>11565000+30461700</f>
        <v>42026700</v>
      </c>
      <c r="M233" s="80">
        <f>+K233+L233</f>
        <v>178137200</v>
      </c>
      <c r="N233" s="171">
        <f>+M233/D233</f>
        <v>0.1781372</v>
      </c>
      <c r="O233" s="15">
        <f>+F233-M233</f>
        <v>821862800</v>
      </c>
      <c r="P233" s="83"/>
      <c r="Q233" s="6" t="str">
        <f t="shared" ref="Q233" si="126">IF(M233&lt;=I233,"OKE","Salah")</f>
        <v>OKE</v>
      </c>
      <c r="R233" s="6"/>
    </row>
    <row r="234" spans="1:18" ht="15" customHeight="1" x14ac:dyDescent="0.2">
      <c r="A234" s="74"/>
      <c r="B234" s="218"/>
      <c r="C234" s="25"/>
      <c r="D234" s="13"/>
      <c r="E234" s="14"/>
      <c r="F234" s="13"/>
      <c r="G234" s="78"/>
      <c r="H234" s="79"/>
      <c r="I234" s="15"/>
      <c r="J234" s="143"/>
      <c r="K234" s="78"/>
      <c r="L234" s="80"/>
      <c r="M234" s="80"/>
      <c r="N234" s="171"/>
      <c r="O234" s="15"/>
      <c r="P234" s="83"/>
      <c r="Q234" s="6"/>
      <c r="R234" s="6"/>
    </row>
    <row r="235" spans="1:18" ht="30.75" customHeight="1" x14ac:dyDescent="0.2">
      <c r="A235" s="74">
        <v>12</v>
      </c>
      <c r="B235" s="220" t="s">
        <v>211</v>
      </c>
      <c r="C235" s="275" t="s">
        <v>210</v>
      </c>
      <c r="D235" s="15">
        <v>500000000</v>
      </c>
      <c r="E235" s="15"/>
      <c r="F235" s="13">
        <f>E235+D235</f>
        <v>500000000</v>
      </c>
      <c r="G235" s="80">
        <f>+maret!I235</f>
        <v>73957500</v>
      </c>
      <c r="H235" s="79">
        <v>21889250</v>
      </c>
      <c r="I235" s="15">
        <f>+G235+H235</f>
        <v>95846750</v>
      </c>
      <c r="J235" s="143">
        <f>+I235/F235</f>
        <v>0.19169349999999999</v>
      </c>
      <c r="K235" s="80">
        <f>+maret!M235</f>
        <v>73956750</v>
      </c>
      <c r="L235" s="80">
        <v>21890000</v>
      </c>
      <c r="M235" s="80">
        <f>+K235+L235</f>
        <v>95846750</v>
      </c>
      <c r="N235" s="171">
        <f>+M235/D235</f>
        <v>0.19169349999999999</v>
      </c>
      <c r="O235" s="15">
        <f>+F235-M235</f>
        <v>404153250</v>
      </c>
      <c r="P235" s="83"/>
      <c r="Q235" s="6" t="str">
        <f t="shared" ref="Q235" si="127">IF(M235&lt;=I235,"OKE","Salah")</f>
        <v>OKE</v>
      </c>
      <c r="R235" s="6"/>
    </row>
    <row r="236" spans="1:18" ht="15" customHeight="1" x14ac:dyDescent="0.2">
      <c r="A236" s="74"/>
      <c r="B236" s="74"/>
      <c r="C236" s="83"/>
      <c r="D236" s="15"/>
      <c r="E236" s="17"/>
      <c r="F236" s="15"/>
      <c r="G236" s="78"/>
      <c r="H236" s="79"/>
      <c r="I236" s="80"/>
      <c r="J236" s="86"/>
      <c r="K236" s="78"/>
      <c r="L236" s="76"/>
      <c r="M236" s="76"/>
      <c r="N236" s="86"/>
      <c r="O236" s="10"/>
      <c r="P236" s="77"/>
      <c r="Q236" s="6"/>
      <c r="R236" s="6"/>
    </row>
    <row r="237" spans="1:18" ht="18.75" customHeight="1" x14ac:dyDescent="0.2">
      <c r="A237" s="139"/>
      <c r="B237" s="139"/>
      <c r="C237" s="140" t="s">
        <v>172</v>
      </c>
      <c r="D237" s="141">
        <f>+D231+D233+D235</f>
        <v>2410000000</v>
      </c>
      <c r="E237" s="141">
        <f>+E231</f>
        <v>0</v>
      </c>
      <c r="F237" s="141">
        <f>+D237+E237</f>
        <v>2410000000</v>
      </c>
      <c r="G237" s="141">
        <f>+G231+G233+G235</f>
        <v>364463930</v>
      </c>
      <c r="H237" s="141">
        <f>+H231+H233+H235</f>
        <v>133060563</v>
      </c>
      <c r="I237" s="141">
        <f>+G237+H237</f>
        <v>497524493</v>
      </c>
      <c r="J237" s="176">
        <f>+I237/F237</f>
        <v>0.20644169834024897</v>
      </c>
      <c r="K237" s="141">
        <f>+K231+K233+K235</f>
        <v>364463180</v>
      </c>
      <c r="L237" s="141">
        <f>+L231+L233+L235</f>
        <v>133061313</v>
      </c>
      <c r="M237" s="141">
        <f>+K237+L237</f>
        <v>497524493</v>
      </c>
      <c r="N237" s="173">
        <f>+M237/F237</f>
        <v>0.20644169834024897</v>
      </c>
      <c r="O237" s="141">
        <f>+F237-M237</f>
        <v>1912475507</v>
      </c>
      <c r="P237" s="77"/>
      <c r="Q237" s="6" t="str">
        <f t="shared" si="124"/>
        <v>OKE</v>
      </c>
      <c r="R237" s="6"/>
    </row>
    <row r="238" spans="1:18" ht="15.95" customHeight="1" x14ac:dyDescent="0.2">
      <c r="A238" s="87"/>
      <c r="B238" s="182"/>
      <c r="C238" s="4"/>
      <c r="D238" s="183"/>
      <c r="E238" s="183"/>
      <c r="F238" s="183"/>
      <c r="G238" s="256"/>
      <c r="H238" s="257"/>
      <c r="I238" s="184"/>
      <c r="J238" s="185"/>
      <c r="K238" s="256"/>
      <c r="L238" s="256"/>
      <c r="M238" s="256"/>
      <c r="N238" s="186"/>
      <c r="O238" s="184"/>
      <c r="P238" s="77"/>
      <c r="Q238" s="6"/>
      <c r="R238" s="6"/>
    </row>
    <row r="239" spans="1:18" ht="15.95" customHeight="1" x14ac:dyDescent="0.2">
      <c r="A239" s="74"/>
      <c r="B239" s="214" t="s">
        <v>304</v>
      </c>
      <c r="C239" s="208" t="s">
        <v>277</v>
      </c>
      <c r="D239" s="178">
        <f>+D241</f>
        <v>1017000000</v>
      </c>
      <c r="E239" s="14"/>
      <c r="F239" s="178">
        <f>+D239+E239</f>
        <v>1017000000</v>
      </c>
      <c r="G239" s="178">
        <f t="shared" ref="G239:H239" si="128">+G241+G249</f>
        <v>216112500</v>
      </c>
      <c r="H239" s="178">
        <f t="shared" si="128"/>
        <v>72037500</v>
      </c>
      <c r="I239" s="10">
        <f>+G239+H239</f>
        <v>288150000</v>
      </c>
      <c r="J239" s="168">
        <f>+I239/F239</f>
        <v>0.28333333333333333</v>
      </c>
      <c r="K239" s="178">
        <f t="shared" ref="K239:L239" si="129">+K241+K249</f>
        <v>216112500</v>
      </c>
      <c r="L239" s="178">
        <f t="shared" si="129"/>
        <v>72037500</v>
      </c>
      <c r="M239" s="180">
        <f>+K239+L239</f>
        <v>288150000</v>
      </c>
      <c r="N239" s="169">
        <f>+M239/F239</f>
        <v>0.28333333333333333</v>
      </c>
      <c r="O239" s="10">
        <f>+F239-M239</f>
        <v>728850000</v>
      </c>
      <c r="P239" s="83"/>
      <c r="Q239" s="6" t="str">
        <f t="shared" ref="Q239" si="130">IF(M239&lt;=I239,"OKE","Salah")</f>
        <v>OKE</v>
      </c>
      <c r="R239" s="6"/>
    </row>
    <row r="240" spans="1:18" ht="15.95" customHeight="1" x14ac:dyDescent="0.2">
      <c r="A240" s="74"/>
      <c r="B240" s="74"/>
      <c r="C240" s="76"/>
      <c r="D240" s="15"/>
      <c r="E240" s="15"/>
      <c r="F240" s="15"/>
      <c r="G240" s="80"/>
      <c r="H240" s="79"/>
      <c r="I240" s="80"/>
      <c r="J240" s="86"/>
      <c r="K240" s="80"/>
      <c r="L240" s="76"/>
      <c r="M240" s="76"/>
      <c r="N240" s="86"/>
      <c r="O240" s="10"/>
      <c r="P240" s="83"/>
      <c r="Q240" s="6"/>
      <c r="R240" s="6"/>
    </row>
    <row r="241" spans="1:19" ht="27" customHeight="1" x14ac:dyDescent="0.2">
      <c r="A241" s="74">
        <v>11</v>
      </c>
      <c r="B241" s="29" t="s">
        <v>303</v>
      </c>
      <c r="C241" s="219" t="s">
        <v>312</v>
      </c>
      <c r="D241" s="13">
        <v>1017000000</v>
      </c>
      <c r="E241" s="14"/>
      <c r="F241" s="13">
        <f>+D241+E241</f>
        <v>1017000000</v>
      </c>
      <c r="G241" s="80">
        <f>+maret!I241</f>
        <v>216112500</v>
      </c>
      <c r="H241" s="79">
        <v>72037500</v>
      </c>
      <c r="I241" s="15">
        <f>+G241+H241</f>
        <v>288150000</v>
      </c>
      <c r="J241" s="143">
        <f>+I241/F241</f>
        <v>0.28333333333333333</v>
      </c>
      <c r="K241" s="80">
        <f>+maret!M241</f>
        <v>216112500</v>
      </c>
      <c r="L241" s="80">
        <v>72037500</v>
      </c>
      <c r="M241" s="80">
        <f>+K241+L241</f>
        <v>288150000</v>
      </c>
      <c r="N241" s="171">
        <f>+M241/F241</f>
        <v>0.28333333333333333</v>
      </c>
      <c r="O241" s="15">
        <f>+F241-M241</f>
        <v>728850000</v>
      </c>
      <c r="P241" s="83"/>
      <c r="Q241" s="6" t="str">
        <f t="shared" ref="Q241" si="131">IF(M241&lt;=I241,"OKE","Salah")</f>
        <v>OKE</v>
      </c>
      <c r="R241" s="6"/>
    </row>
    <row r="242" spans="1:19" ht="16.5" customHeight="1" x14ac:dyDescent="0.2">
      <c r="A242" s="74"/>
      <c r="B242" s="29"/>
      <c r="C242" s="219"/>
      <c r="D242" s="13"/>
      <c r="E242" s="14"/>
      <c r="F242" s="13"/>
      <c r="G242" s="78"/>
      <c r="H242" s="79"/>
      <c r="I242" s="15"/>
      <c r="J242" s="143"/>
      <c r="K242" s="78"/>
      <c r="L242" s="80"/>
      <c r="M242" s="80"/>
      <c r="N242" s="171"/>
      <c r="O242" s="15"/>
      <c r="P242" s="77"/>
      <c r="Q242" s="6"/>
      <c r="R242" s="6"/>
    </row>
    <row r="243" spans="1:19" ht="17.25" customHeight="1" x14ac:dyDescent="0.2">
      <c r="A243" s="139"/>
      <c r="B243" s="139"/>
      <c r="C243" s="140" t="s">
        <v>172</v>
      </c>
      <c r="D243" s="141">
        <f>+D241</f>
        <v>1017000000</v>
      </c>
      <c r="E243" s="141">
        <f>+E241</f>
        <v>0</v>
      </c>
      <c r="F243" s="141">
        <f>+F241</f>
        <v>1017000000</v>
      </c>
      <c r="G243" s="141">
        <f t="shared" ref="G243:H243" si="132">+G241</f>
        <v>216112500</v>
      </c>
      <c r="H243" s="141">
        <f t="shared" si="132"/>
        <v>72037500</v>
      </c>
      <c r="I243" s="141">
        <f>+G243+H243</f>
        <v>288150000</v>
      </c>
      <c r="J243" s="176">
        <f>+I243/F243</f>
        <v>0.28333333333333333</v>
      </c>
      <c r="K243" s="141">
        <f>+K241</f>
        <v>216112500</v>
      </c>
      <c r="L243" s="141">
        <f>+L241</f>
        <v>72037500</v>
      </c>
      <c r="M243" s="141">
        <f>+K243+L243</f>
        <v>288150000</v>
      </c>
      <c r="N243" s="173">
        <f>+M243/F243</f>
        <v>0.28333333333333333</v>
      </c>
      <c r="O243" s="141">
        <f>+F243-M243</f>
        <v>728850000</v>
      </c>
      <c r="P243" s="77"/>
      <c r="Q243" s="6" t="str">
        <f t="shared" ref="Q243" si="133">IF(M243&lt;=I243,"OKE","Salah")</f>
        <v>OKE</v>
      </c>
      <c r="R243" s="6"/>
    </row>
    <row r="244" spans="1:19" ht="15.95" customHeight="1" x14ac:dyDescent="0.2">
      <c r="A244" s="74"/>
      <c r="B244" s="29"/>
      <c r="C244" s="8"/>
      <c r="D244" s="13"/>
      <c r="E244" s="13"/>
      <c r="F244" s="13"/>
      <c r="G244" s="80"/>
      <c r="H244" s="79"/>
      <c r="I244" s="15"/>
      <c r="J244" s="143"/>
      <c r="K244" s="80"/>
      <c r="L244" s="80"/>
      <c r="M244" s="80"/>
      <c r="N244" s="171"/>
      <c r="O244" s="15"/>
      <c r="P244" s="77"/>
      <c r="Q244" s="6"/>
      <c r="R244" s="6"/>
    </row>
    <row r="245" spans="1:19" ht="15.95" customHeight="1" x14ac:dyDescent="0.2">
      <c r="A245" s="74"/>
      <c r="B245" s="29"/>
      <c r="C245" s="8"/>
      <c r="D245" s="13"/>
      <c r="E245" s="13"/>
      <c r="F245" s="13"/>
      <c r="G245" s="80"/>
      <c r="H245" s="79"/>
      <c r="I245" s="15"/>
      <c r="J245" s="143"/>
      <c r="K245" s="80"/>
      <c r="L245" s="80"/>
      <c r="M245" s="80"/>
      <c r="N245" s="171"/>
      <c r="O245" s="15"/>
      <c r="P245" s="77"/>
      <c r="Q245" s="6"/>
      <c r="R245" s="6"/>
    </row>
    <row r="246" spans="1:19" ht="23.25" customHeight="1" x14ac:dyDescent="0.2">
      <c r="A246" s="7"/>
      <c r="B246" s="206" t="s">
        <v>183</v>
      </c>
      <c r="C246" s="346" t="s">
        <v>182</v>
      </c>
      <c r="D246" s="10">
        <f>+D248+D250</f>
        <v>2300000000</v>
      </c>
      <c r="E246" s="10">
        <f t="shared" ref="E246:F246" si="134">+E248+E250</f>
        <v>0</v>
      </c>
      <c r="F246" s="10">
        <f t="shared" si="134"/>
        <v>2300000000</v>
      </c>
      <c r="G246" s="10">
        <f t="shared" ref="G246:H246" si="135">+G252</f>
        <v>354791279</v>
      </c>
      <c r="H246" s="11">
        <f t="shared" si="135"/>
        <v>191578362</v>
      </c>
      <c r="I246" s="10">
        <f>+G246+H246</f>
        <v>546369641</v>
      </c>
      <c r="J246" s="168">
        <f>+I246/F246</f>
        <v>0.23755201782608695</v>
      </c>
      <c r="K246" s="10">
        <f t="shared" ref="K246:L246" si="136">+K248+K250</f>
        <v>354664874</v>
      </c>
      <c r="L246" s="10">
        <f t="shared" si="136"/>
        <v>189364870</v>
      </c>
      <c r="M246" s="10">
        <f>+K246+L246</f>
        <v>544029744</v>
      </c>
      <c r="N246" s="169">
        <f>+M246/F246</f>
        <v>0.23653467130434783</v>
      </c>
      <c r="O246" s="10">
        <f>+F246-M246</f>
        <v>1755970256</v>
      </c>
      <c r="P246" s="77"/>
      <c r="Q246" s="6" t="str">
        <f t="shared" ref="Q246:Q309" si="137">IF(M246&lt;=I246,"OKE","Salah")</f>
        <v>OKE</v>
      </c>
      <c r="R246" s="6"/>
    </row>
    <row r="247" spans="1:19" ht="15.95" customHeight="1" x14ac:dyDescent="0.2">
      <c r="A247" s="74"/>
      <c r="B247" s="74"/>
      <c r="C247" s="76"/>
      <c r="D247" s="15"/>
      <c r="E247" s="15"/>
      <c r="F247" s="15"/>
      <c r="G247" s="80"/>
      <c r="H247" s="79"/>
      <c r="I247" s="80"/>
      <c r="J247" s="86"/>
      <c r="K247" s="80"/>
      <c r="L247" s="76"/>
      <c r="M247" s="76"/>
      <c r="N247" s="86"/>
      <c r="O247" s="10"/>
      <c r="P247" s="77"/>
      <c r="Q247" s="6"/>
      <c r="R247" s="6"/>
    </row>
    <row r="248" spans="1:19" ht="15.95" customHeight="1" x14ac:dyDescent="0.2">
      <c r="A248" s="74">
        <v>12</v>
      </c>
      <c r="B248" s="207" t="s">
        <v>185</v>
      </c>
      <c r="C248" s="457" t="s">
        <v>184</v>
      </c>
      <c r="D248" s="13">
        <v>2100000000</v>
      </c>
      <c r="E248" s="14"/>
      <c r="F248" s="13">
        <f>+D248+E248</f>
        <v>2100000000</v>
      </c>
      <c r="G248" s="80">
        <f>+maret!I247</f>
        <v>306484779</v>
      </c>
      <c r="H248" s="79">
        <f>66713500+113138362</f>
        <v>179851862</v>
      </c>
      <c r="I248" s="15">
        <f>+G248+H248</f>
        <v>486336641</v>
      </c>
      <c r="J248" s="143">
        <f>+I248/F248</f>
        <v>0.23158887666666667</v>
      </c>
      <c r="K248" s="80">
        <f>+maret!M247</f>
        <v>306358374</v>
      </c>
      <c r="L248" s="80">
        <f>66713500+110924870</f>
        <v>177638370</v>
      </c>
      <c r="M248" s="80">
        <f>+K248+L248</f>
        <v>483996744</v>
      </c>
      <c r="N248" s="171">
        <f>+M248/F248</f>
        <v>0.23047464000000001</v>
      </c>
      <c r="O248" s="15">
        <f>+F248-M248</f>
        <v>1616003256</v>
      </c>
      <c r="P248" s="77"/>
      <c r="Q248" s="6" t="str">
        <f t="shared" si="137"/>
        <v>OKE</v>
      </c>
      <c r="R248" s="6"/>
    </row>
    <row r="249" spans="1:19" ht="21" customHeight="1" x14ac:dyDescent="0.2">
      <c r="A249" s="74"/>
      <c r="B249" s="29"/>
      <c r="C249" s="457"/>
      <c r="D249" s="13"/>
      <c r="E249" s="14"/>
      <c r="F249" s="13"/>
      <c r="G249" s="78"/>
      <c r="H249" s="79"/>
      <c r="I249" s="15"/>
      <c r="J249" s="143"/>
      <c r="K249" s="80"/>
      <c r="L249" s="80"/>
      <c r="M249" s="80"/>
      <c r="N249" s="171"/>
      <c r="O249" s="15"/>
      <c r="P249" s="77"/>
      <c r="Q249" s="6"/>
      <c r="R249" s="6"/>
    </row>
    <row r="250" spans="1:19" ht="30.75" customHeight="1" x14ac:dyDescent="0.2">
      <c r="A250" s="74">
        <v>13</v>
      </c>
      <c r="B250" s="207" t="s">
        <v>186</v>
      </c>
      <c r="C250" s="276" t="s">
        <v>187</v>
      </c>
      <c r="D250" s="213">
        <v>200000000</v>
      </c>
      <c r="E250" s="14"/>
      <c r="F250" s="13">
        <f>+D250+E250</f>
        <v>200000000</v>
      </c>
      <c r="G250" s="80">
        <f>+maret!I249</f>
        <v>48306500</v>
      </c>
      <c r="H250" s="79">
        <v>11726500</v>
      </c>
      <c r="I250" s="15">
        <f>+G250+H250</f>
        <v>60033000</v>
      </c>
      <c r="J250" s="143">
        <f>+I250/F250</f>
        <v>0.30016500000000002</v>
      </c>
      <c r="K250" s="80">
        <f>+maret!M249</f>
        <v>48306500</v>
      </c>
      <c r="L250" s="80">
        <v>11726500</v>
      </c>
      <c r="M250" s="80">
        <f>+K250+L250</f>
        <v>60033000</v>
      </c>
      <c r="N250" s="171">
        <f>+M250/F250</f>
        <v>0.30016500000000002</v>
      </c>
      <c r="O250" s="15">
        <f>+F250-M250</f>
        <v>139967000</v>
      </c>
      <c r="P250" s="77"/>
      <c r="Q250" s="6" t="str">
        <f t="shared" ref="Q250" si="138">IF(M250&lt;=I250,"OKE","Salah")</f>
        <v>OKE</v>
      </c>
      <c r="R250" s="6"/>
    </row>
    <row r="251" spans="1:19" ht="15.95" customHeight="1" x14ac:dyDescent="0.2">
      <c r="A251" s="74"/>
      <c r="B251" s="74"/>
      <c r="C251" s="76"/>
      <c r="D251" s="15"/>
      <c r="E251" s="15"/>
      <c r="F251" s="15"/>
      <c r="G251" s="80"/>
      <c r="H251" s="79"/>
      <c r="I251" s="80"/>
      <c r="J251" s="86"/>
      <c r="K251" s="80"/>
      <c r="L251" s="76"/>
      <c r="M251" s="76"/>
      <c r="N251" s="86"/>
      <c r="O251" s="10"/>
      <c r="P251" s="77"/>
      <c r="Q251" s="6"/>
      <c r="R251" s="6"/>
    </row>
    <row r="252" spans="1:19" ht="20.25" customHeight="1" x14ac:dyDescent="0.2">
      <c r="A252" s="139"/>
      <c r="B252" s="139"/>
      <c r="C252" s="140" t="s">
        <v>113</v>
      </c>
      <c r="D252" s="141">
        <f>SUM(D248:D250)</f>
        <v>2300000000</v>
      </c>
      <c r="E252" s="141">
        <f t="shared" ref="E252" si="139">SUM(E248:E250)</f>
        <v>0</v>
      </c>
      <c r="F252" s="141">
        <f>+D252+E252</f>
        <v>2300000000</v>
      </c>
      <c r="G252" s="141">
        <f>SUM(G248:G250)</f>
        <v>354791279</v>
      </c>
      <c r="H252" s="141">
        <f>SUM(H248:H250)</f>
        <v>191578362</v>
      </c>
      <c r="I252" s="141">
        <f>+G252+H252</f>
        <v>546369641</v>
      </c>
      <c r="J252" s="176">
        <f>+I252/F252</f>
        <v>0.23755201782608695</v>
      </c>
      <c r="K252" s="141">
        <f t="shared" ref="K252:L252" si="140">SUM(K248:K250)</f>
        <v>354664874</v>
      </c>
      <c r="L252" s="141">
        <f t="shared" si="140"/>
        <v>189364870</v>
      </c>
      <c r="M252" s="141">
        <f>+M248</f>
        <v>483996744</v>
      </c>
      <c r="N252" s="173">
        <f>+M252/F252</f>
        <v>0.21043336695652173</v>
      </c>
      <c r="O252" s="141">
        <f>+D252-M252</f>
        <v>1816003256</v>
      </c>
      <c r="P252" s="77"/>
      <c r="Q252" s="6" t="str">
        <f t="shared" si="137"/>
        <v>OKE</v>
      </c>
      <c r="R252" s="6"/>
    </row>
    <row r="253" spans="1:19" ht="8.25" customHeight="1" x14ac:dyDescent="0.2">
      <c r="A253" s="74"/>
      <c r="B253" s="74"/>
      <c r="C253" s="9"/>
      <c r="D253" s="10"/>
      <c r="E253" s="10"/>
      <c r="F253" s="10"/>
      <c r="G253" s="10"/>
      <c r="H253" s="10"/>
      <c r="I253" s="10"/>
      <c r="J253" s="168"/>
      <c r="K253" s="10"/>
      <c r="L253" s="10"/>
      <c r="M253" s="10"/>
      <c r="N253" s="169"/>
      <c r="O253" s="10"/>
      <c r="P253" s="77"/>
      <c r="Q253" s="6"/>
      <c r="R253" s="6"/>
    </row>
    <row r="254" spans="1:19" ht="15.95" customHeight="1" x14ac:dyDescent="0.2">
      <c r="A254" s="74"/>
      <c r="B254" s="74"/>
      <c r="C254" s="9"/>
      <c r="D254" s="10"/>
      <c r="E254" s="10"/>
      <c r="F254" s="10"/>
      <c r="G254" s="10"/>
      <c r="H254" s="11"/>
      <c r="I254" s="10"/>
      <c r="J254" s="176"/>
      <c r="K254" s="10"/>
      <c r="L254" s="10"/>
      <c r="M254" s="10"/>
      <c r="N254" s="169"/>
      <c r="O254" s="10"/>
      <c r="P254" s="77"/>
      <c r="Q254" s="6"/>
      <c r="R254" s="6"/>
      <c r="S254" s="190">
        <f>+S464+S468</f>
        <v>3180307617</v>
      </c>
    </row>
    <row r="255" spans="1:19" ht="11.25" customHeight="1" x14ac:dyDescent="0.2">
      <c r="A255" s="388"/>
      <c r="B255" s="388"/>
      <c r="C255" s="395" t="s">
        <v>76</v>
      </c>
      <c r="D255" s="364">
        <f>+D205+D219+D227+D237+D243+D252</f>
        <v>12180425000</v>
      </c>
      <c r="E255" s="364">
        <f>+E219+E227+E237+E252</f>
        <v>0</v>
      </c>
      <c r="F255" s="364">
        <f>+D255+E255</f>
        <v>12180425000</v>
      </c>
      <c r="G255" s="455">
        <f>+G205+G219+G227+G237+G243+G252</f>
        <v>2367143469</v>
      </c>
      <c r="H255" s="364">
        <f>+H205+H219+H227+H237+H243+H252</f>
        <v>924458197</v>
      </c>
      <c r="I255" s="364">
        <f>+G255+H255</f>
        <v>3291601666</v>
      </c>
      <c r="J255" s="408">
        <f>+I255/F255</f>
        <v>0.27023701274791317</v>
      </c>
      <c r="K255" s="455">
        <f>+K205+K219+K227+K237+K243+K252</f>
        <v>2367016314</v>
      </c>
      <c r="L255" s="364">
        <f>+L205+L219+L227+L237+L243+L252</f>
        <v>922173455</v>
      </c>
      <c r="M255" s="364">
        <f>+K255+L255</f>
        <v>3289189769</v>
      </c>
      <c r="N255" s="366">
        <f>+M255/F255</f>
        <v>0.27003899855711111</v>
      </c>
      <c r="O255" s="364">
        <f>+F255-M255</f>
        <v>8891235231</v>
      </c>
      <c r="P255" s="77"/>
      <c r="Q255" s="6" t="str">
        <f t="shared" si="137"/>
        <v>OKE</v>
      </c>
      <c r="R255" s="6"/>
    </row>
    <row r="256" spans="1:19" ht="15" thickBot="1" x14ac:dyDescent="0.25">
      <c r="A256" s="389"/>
      <c r="B256" s="389"/>
      <c r="C256" s="396"/>
      <c r="D256" s="396"/>
      <c r="E256" s="396"/>
      <c r="F256" s="396"/>
      <c r="G256" s="456"/>
      <c r="H256" s="396"/>
      <c r="I256" s="396"/>
      <c r="J256" s="409"/>
      <c r="K256" s="456"/>
      <c r="L256" s="396"/>
      <c r="M256" s="396"/>
      <c r="N256" s="367"/>
      <c r="O256" s="396"/>
      <c r="P256" s="83"/>
      <c r="Q256" s="6" t="str">
        <f t="shared" si="137"/>
        <v>OKE</v>
      </c>
      <c r="R256" s="6"/>
      <c r="S256" s="190">
        <f>+S477-245000</f>
        <v>654014862</v>
      </c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7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7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7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7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7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7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7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7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7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7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37"/>
        <v>OKE</v>
      </c>
      <c r="R267" s="6"/>
    </row>
    <row r="268" spans="1:18" ht="15" hidden="1" thickBot="1" x14ac:dyDescent="0.25">
      <c r="B268" s="88"/>
      <c r="C268" s="77"/>
      <c r="D268" s="31"/>
      <c r="E268" s="31"/>
      <c r="F268" s="31"/>
      <c r="G268" s="179"/>
      <c r="H268" s="258"/>
      <c r="I268" s="179"/>
      <c r="J268" s="179"/>
      <c r="K268" s="179"/>
      <c r="L268" s="77"/>
      <c r="M268" s="77"/>
      <c r="N268" s="77"/>
      <c r="O268" s="77"/>
      <c r="P268" s="77"/>
      <c r="Q268" s="6" t="str">
        <f t="shared" si="137"/>
        <v>OKE</v>
      </c>
      <c r="R268" s="6"/>
    </row>
    <row r="269" spans="1:18" ht="14.1" hidden="1" customHeight="1" x14ac:dyDescent="0.2">
      <c r="A269" s="410" t="s">
        <v>0</v>
      </c>
      <c r="B269" s="410"/>
      <c r="C269" s="410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77"/>
      <c r="Q269" s="6" t="str">
        <f t="shared" si="137"/>
        <v>OKE</v>
      </c>
      <c r="R269" s="6"/>
    </row>
    <row r="270" spans="1:18" ht="14.1" hidden="1" customHeight="1" x14ac:dyDescent="0.2">
      <c r="A270" s="410" t="s">
        <v>130</v>
      </c>
      <c r="B270" s="410"/>
      <c r="C270" s="410"/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77"/>
      <c r="Q270" s="6" t="str">
        <f t="shared" si="137"/>
        <v>OKE</v>
      </c>
      <c r="R270" s="6"/>
    </row>
    <row r="271" spans="1:18" ht="14.1" hidden="1" customHeight="1" x14ac:dyDescent="0.2">
      <c r="A271" s="407" t="s">
        <v>131</v>
      </c>
      <c r="B271" s="407"/>
      <c r="C271" s="407"/>
      <c r="D271" s="407"/>
      <c r="E271" s="407"/>
      <c r="F271" s="407"/>
      <c r="G271" s="407"/>
      <c r="H271" s="407"/>
      <c r="I271" s="407"/>
      <c r="J271" s="407"/>
      <c r="K271" s="407"/>
      <c r="L271" s="407"/>
      <c r="M271" s="407"/>
      <c r="N271" s="407"/>
      <c r="O271" s="407"/>
      <c r="P271" s="77"/>
      <c r="Q271" s="6" t="str">
        <f t="shared" si="137"/>
        <v>OKE</v>
      </c>
      <c r="R271" s="6"/>
    </row>
    <row r="272" spans="1:18" ht="14.1" hidden="1" customHeight="1" x14ac:dyDescent="0.2">
      <c r="A272" s="361" t="s">
        <v>2</v>
      </c>
      <c r="B272" s="361" t="s">
        <v>3</v>
      </c>
      <c r="C272" s="361" t="s">
        <v>4</v>
      </c>
      <c r="D272" s="361" t="s">
        <v>5</v>
      </c>
      <c r="E272" s="197"/>
      <c r="F272" s="197"/>
      <c r="G272" s="358" t="s">
        <v>11</v>
      </c>
      <c r="H272" s="359"/>
      <c r="I272" s="359"/>
      <c r="J272" s="360"/>
      <c r="K272" s="358" t="s">
        <v>9</v>
      </c>
      <c r="L272" s="359"/>
      <c r="M272" s="359"/>
      <c r="N272" s="360"/>
      <c r="O272" s="361" t="s">
        <v>10</v>
      </c>
      <c r="P272" s="77"/>
      <c r="Q272" s="6" t="str">
        <f t="shared" si="137"/>
        <v>OKE</v>
      </c>
      <c r="R272" s="6"/>
    </row>
    <row r="273" spans="1:18" ht="14.1" hidden="1" customHeight="1" x14ac:dyDescent="0.2">
      <c r="A273" s="362"/>
      <c r="B273" s="362"/>
      <c r="C273" s="362"/>
      <c r="D273" s="362"/>
      <c r="E273" s="44"/>
      <c r="F273" s="44"/>
      <c r="G273" s="358" t="s">
        <v>74</v>
      </c>
      <c r="H273" s="359"/>
      <c r="I273" s="359"/>
      <c r="J273" s="360"/>
      <c r="K273" s="358" t="s">
        <v>12</v>
      </c>
      <c r="L273" s="359"/>
      <c r="M273" s="359"/>
      <c r="N273" s="360"/>
      <c r="O273" s="362"/>
      <c r="P273" s="77"/>
      <c r="Q273" s="6" t="str">
        <f t="shared" si="137"/>
        <v>OKE</v>
      </c>
      <c r="R273" s="6"/>
    </row>
    <row r="274" spans="1:18" ht="15" hidden="1" thickBot="1" x14ac:dyDescent="0.25">
      <c r="A274" s="363"/>
      <c r="B274" s="363"/>
      <c r="C274" s="363"/>
      <c r="D274" s="363"/>
      <c r="E274" s="196"/>
      <c r="F274" s="196"/>
      <c r="G274" s="144" t="s">
        <v>13</v>
      </c>
      <c r="H274" s="145" t="s">
        <v>14</v>
      </c>
      <c r="I274" s="144" t="s">
        <v>15</v>
      </c>
      <c r="J274" s="144" t="s">
        <v>16</v>
      </c>
      <c r="K274" s="144" t="s">
        <v>13</v>
      </c>
      <c r="L274" s="144" t="s">
        <v>14</v>
      </c>
      <c r="M274" s="144" t="s">
        <v>15</v>
      </c>
      <c r="N274" s="144" t="s">
        <v>16</v>
      </c>
      <c r="O274" s="363"/>
      <c r="P274" s="77"/>
      <c r="Q274" s="6" t="str">
        <f t="shared" si="137"/>
        <v>OKE</v>
      </c>
      <c r="R274" s="6"/>
    </row>
    <row r="275" spans="1:18" ht="15" hidden="1" thickBot="1" x14ac:dyDescent="0.25">
      <c r="A275" s="2">
        <v>1</v>
      </c>
      <c r="B275" s="2">
        <v>2</v>
      </c>
      <c r="C275" s="2">
        <v>3</v>
      </c>
      <c r="D275" s="2">
        <v>4</v>
      </c>
      <c r="E275" s="2"/>
      <c r="F275" s="2"/>
      <c r="G275" s="2">
        <v>5</v>
      </c>
      <c r="H275" s="145">
        <v>6</v>
      </c>
      <c r="I275" s="45" t="s">
        <v>77</v>
      </c>
      <c r="J275" s="45" t="s">
        <v>78</v>
      </c>
      <c r="K275" s="45">
        <v>9</v>
      </c>
      <c r="L275" s="45">
        <v>10</v>
      </c>
      <c r="M275" s="45" t="s">
        <v>79</v>
      </c>
      <c r="N275" s="45" t="s">
        <v>80</v>
      </c>
      <c r="O275" s="45" t="s">
        <v>81</v>
      </c>
      <c r="P275" s="77"/>
      <c r="Q275" s="6" t="str">
        <f t="shared" si="137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241"/>
      <c r="O276" s="241"/>
      <c r="P276" s="77"/>
      <c r="Q276" s="6" t="str">
        <f t="shared" si="137"/>
        <v>OKE</v>
      </c>
      <c r="R276" s="6"/>
    </row>
    <row r="277" spans="1:18" ht="15" hidden="1" thickBot="1" x14ac:dyDescent="0.25">
      <c r="A277" s="74"/>
      <c r="B277" s="76"/>
      <c r="C277" s="244" t="s">
        <v>82</v>
      </c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76"/>
      <c r="O277" s="76"/>
      <c r="P277" s="77"/>
      <c r="Q277" s="6" t="str">
        <f t="shared" si="137"/>
        <v>OKE</v>
      </c>
      <c r="R277" s="6"/>
    </row>
    <row r="278" spans="1:18" ht="15" hidden="1" thickBot="1" x14ac:dyDescent="0.25">
      <c r="A278" s="74"/>
      <c r="B278" s="76"/>
      <c r="C278" s="76"/>
      <c r="D278" s="8"/>
      <c r="E278" s="8"/>
      <c r="F278" s="8"/>
      <c r="G278" s="76"/>
      <c r="H278" s="82"/>
      <c r="I278" s="76"/>
      <c r="J278" s="76"/>
      <c r="K278" s="76"/>
      <c r="L278" s="76"/>
      <c r="M278" s="76"/>
      <c r="N278" s="76"/>
      <c r="O278" s="76"/>
      <c r="P278" s="77"/>
      <c r="Q278" s="6" t="str">
        <f t="shared" si="137"/>
        <v>OKE</v>
      </c>
      <c r="R278" s="6"/>
    </row>
    <row r="279" spans="1:18" ht="15" hidden="1" thickBot="1" x14ac:dyDescent="0.25">
      <c r="A279" s="7" t="s">
        <v>22</v>
      </c>
      <c r="B279" s="7" t="s">
        <v>23</v>
      </c>
      <c r="C279" s="9" t="s">
        <v>45</v>
      </c>
      <c r="D279" s="10">
        <f>+D281+D286+D288+D290</f>
        <v>352575000</v>
      </c>
      <c r="E279" s="10"/>
      <c r="F279" s="10"/>
      <c r="G279" s="10">
        <f>+G281+G286+G288+G290</f>
        <v>130595000</v>
      </c>
      <c r="H279" s="11">
        <f>+H281+H286+H288+H290</f>
        <v>200225000</v>
      </c>
      <c r="I279" s="10">
        <f>+G279+H279</f>
        <v>330820000</v>
      </c>
      <c r="J279" s="12">
        <f>+I279/D279</f>
        <v>0.9382968162802241</v>
      </c>
      <c r="K279" s="10">
        <f>+K281+K286+K288+K290</f>
        <v>124051000</v>
      </c>
      <c r="L279" s="10">
        <f>+L281+L286+L288+L290</f>
        <v>199372700</v>
      </c>
      <c r="M279" s="10">
        <f>+K279+L279</f>
        <v>323423700</v>
      </c>
      <c r="N279" s="12">
        <f>+M279/D279</f>
        <v>0.91731886832588816</v>
      </c>
      <c r="O279" s="10">
        <f>+D279-I279</f>
        <v>21755000</v>
      </c>
      <c r="P279" s="77"/>
      <c r="Q279" s="6" t="str">
        <f t="shared" si="137"/>
        <v>OKE</v>
      </c>
      <c r="R279" s="6"/>
    </row>
    <row r="280" spans="1:18" ht="15" hidden="1" thickBot="1" x14ac:dyDescent="0.25">
      <c r="A280" s="74"/>
      <c r="B280" s="74"/>
      <c r="C280" s="76"/>
      <c r="D280" s="15"/>
      <c r="E280" s="15"/>
      <c r="F280" s="15"/>
      <c r="G280" s="80"/>
      <c r="H280" s="79"/>
      <c r="I280" s="80"/>
      <c r="J280" s="80"/>
      <c r="K280" s="80"/>
      <c r="L280" s="76"/>
      <c r="M280" s="76"/>
      <c r="N280" s="76"/>
      <c r="O280" s="76"/>
      <c r="P280" s="77"/>
      <c r="Q280" s="6" t="str">
        <f t="shared" si="137"/>
        <v>OKE</v>
      </c>
      <c r="R280" s="6"/>
    </row>
    <row r="281" spans="1:18" ht="15" hidden="1" thickBot="1" x14ac:dyDescent="0.25">
      <c r="A281" s="74">
        <v>1</v>
      </c>
      <c r="B281" s="75" t="s">
        <v>39</v>
      </c>
      <c r="C281" s="76" t="s">
        <v>50</v>
      </c>
      <c r="D281" s="15">
        <v>255000000</v>
      </c>
      <c r="E281" s="15"/>
      <c r="F281" s="15"/>
      <c r="G281" s="80">
        <v>68220000</v>
      </c>
      <c r="H281" s="79">
        <v>173020000</v>
      </c>
      <c r="I281" s="15">
        <f>+G281+H281</f>
        <v>241240000</v>
      </c>
      <c r="J281" s="16">
        <f>+I281/D281</f>
        <v>0.94603921568627447</v>
      </c>
      <c r="K281" s="80">
        <v>65540000</v>
      </c>
      <c r="L281" s="80">
        <v>174070000</v>
      </c>
      <c r="M281" s="80">
        <f>+K281+L281</f>
        <v>239610000</v>
      </c>
      <c r="N281" s="16">
        <f>+M281/D281</f>
        <v>0.93964705882352939</v>
      </c>
      <c r="O281" s="80">
        <f>+D281-I281</f>
        <v>13760000</v>
      </c>
      <c r="P281" s="77"/>
      <c r="Q281" s="6" t="str">
        <f t="shared" si="137"/>
        <v>OKE</v>
      </c>
      <c r="R281" s="6"/>
    </row>
    <row r="282" spans="1:18" ht="15" hidden="1" thickBot="1" x14ac:dyDescent="0.25">
      <c r="A282" s="74"/>
      <c r="B282" s="75"/>
      <c r="C282" s="76"/>
      <c r="D282" s="15"/>
      <c r="E282" s="15"/>
      <c r="F282" s="15"/>
      <c r="G282" s="80"/>
      <c r="H282" s="79"/>
      <c r="I282" s="15"/>
      <c r="J282" s="16"/>
      <c r="K282" s="80"/>
      <c r="L282" s="80"/>
      <c r="M282" s="80"/>
      <c r="N282" s="16"/>
      <c r="O282" s="80"/>
      <c r="P282" s="77"/>
      <c r="Q282" s="6" t="str">
        <f t="shared" si="137"/>
        <v>OKE</v>
      </c>
      <c r="R282" s="6"/>
    </row>
    <row r="283" spans="1:18" ht="15" hidden="1" thickBot="1" x14ac:dyDescent="0.25">
      <c r="A283" s="74"/>
      <c r="B283" s="18" t="s">
        <v>24</v>
      </c>
      <c r="C283" s="19" t="s">
        <v>25</v>
      </c>
      <c r="D283" s="20">
        <v>44275000</v>
      </c>
      <c r="E283" s="20"/>
      <c r="F283" s="20"/>
      <c r="G283" s="20">
        <v>33022500</v>
      </c>
      <c r="H283" s="21">
        <v>2527500</v>
      </c>
      <c r="I283" s="20">
        <f>+G283+H283</f>
        <v>35550000</v>
      </c>
      <c r="J283" s="22">
        <f>+I283/D283</f>
        <v>0.80293619424054208</v>
      </c>
      <c r="K283" s="20">
        <v>27217500</v>
      </c>
      <c r="L283" s="20">
        <v>0</v>
      </c>
      <c r="M283" s="20">
        <f>+K283+L283</f>
        <v>27217500</v>
      </c>
      <c r="N283" s="22">
        <f>+M283/D283</f>
        <v>0.61473743647656687</v>
      </c>
      <c r="O283" s="20">
        <f>+D283-I283</f>
        <v>8725000</v>
      </c>
      <c r="P283" s="77"/>
      <c r="Q283" s="6" t="str">
        <f t="shared" si="137"/>
        <v>OKE</v>
      </c>
      <c r="R283" s="6"/>
    </row>
    <row r="284" spans="1:18" ht="15" hidden="1" thickBot="1" x14ac:dyDescent="0.25">
      <c r="A284" s="74"/>
      <c r="B284" s="18" t="s">
        <v>24</v>
      </c>
      <c r="C284" s="19" t="s">
        <v>28</v>
      </c>
      <c r="D284" s="20">
        <v>-11700000</v>
      </c>
      <c r="E284" s="20"/>
      <c r="F284" s="20"/>
      <c r="G284" s="20">
        <v>0</v>
      </c>
      <c r="H284" s="21">
        <v>-8825000</v>
      </c>
      <c r="I284" s="20">
        <f>+G284+H284</f>
        <v>-8825000</v>
      </c>
      <c r="J284" s="22"/>
      <c r="K284" s="20"/>
      <c r="L284" s="20">
        <v>-8825000</v>
      </c>
      <c r="M284" s="20">
        <f>+K284+L284</f>
        <v>-8825000</v>
      </c>
      <c r="N284" s="22"/>
      <c r="O284" s="20"/>
      <c r="P284" s="77"/>
      <c r="Q284" s="6" t="str">
        <f t="shared" si="137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76"/>
      <c r="M285" s="76"/>
      <c r="N285" s="76"/>
      <c r="O285" s="76"/>
      <c r="P285" s="77"/>
      <c r="Q285" s="6" t="str">
        <f t="shared" si="137"/>
        <v>OKE</v>
      </c>
      <c r="R285" s="6"/>
    </row>
    <row r="286" spans="1:18" ht="15" hidden="1" thickBot="1" x14ac:dyDescent="0.25">
      <c r="A286" s="74">
        <v>2</v>
      </c>
      <c r="B286" s="75" t="s">
        <v>24</v>
      </c>
      <c r="C286" s="76" t="s">
        <v>25</v>
      </c>
      <c r="D286" s="15">
        <v>32575000</v>
      </c>
      <c r="E286" s="15"/>
      <c r="F286" s="15"/>
      <c r="G286" s="80">
        <v>26725000</v>
      </c>
      <c r="H286" s="79">
        <v>5055000</v>
      </c>
      <c r="I286" s="15">
        <f>+G286+H286</f>
        <v>31780000</v>
      </c>
      <c r="J286" s="16">
        <f>+I286/D286</f>
        <v>0.97559478127398314</v>
      </c>
      <c r="K286" s="80">
        <v>23622500</v>
      </c>
      <c r="L286" s="80">
        <v>7757500</v>
      </c>
      <c r="M286" s="80">
        <f>+K286+L286</f>
        <v>31380000</v>
      </c>
      <c r="N286" s="16">
        <f>+M286/D286</f>
        <v>0.96331542594013819</v>
      </c>
      <c r="O286" s="80">
        <f>+D286-I286</f>
        <v>795000</v>
      </c>
      <c r="P286" s="77"/>
      <c r="Q286" s="6" t="str">
        <f t="shared" si="137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93"/>
      <c r="M287" s="76"/>
      <c r="N287" s="76"/>
      <c r="O287" s="76"/>
      <c r="P287" s="77"/>
      <c r="Q287" s="6" t="str">
        <f t="shared" si="137"/>
        <v>OKE</v>
      </c>
      <c r="R287" s="6"/>
    </row>
    <row r="288" spans="1:18" ht="15" hidden="1" thickBot="1" x14ac:dyDescent="0.25">
      <c r="A288" s="74">
        <v>3</v>
      </c>
      <c r="B288" s="75" t="s">
        <v>46</v>
      </c>
      <c r="C288" s="76" t="s">
        <v>47</v>
      </c>
      <c r="D288" s="15">
        <v>25000000</v>
      </c>
      <c r="E288" s="15"/>
      <c r="F288" s="15"/>
      <c r="G288" s="80">
        <v>9400000</v>
      </c>
      <c r="H288" s="79">
        <v>15600000</v>
      </c>
      <c r="I288" s="15">
        <f>+G288+H288</f>
        <v>25000000</v>
      </c>
      <c r="J288" s="16">
        <f>+I288/D288</f>
        <v>1</v>
      </c>
      <c r="K288" s="80">
        <v>9400000</v>
      </c>
      <c r="L288" s="80">
        <v>11703700</v>
      </c>
      <c r="M288" s="80">
        <f>+K288+L288</f>
        <v>21103700</v>
      </c>
      <c r="N288" s="16">
        <f>+M288/D288</f>
        <v>0.84414800000000001</v>
      </c>
      <c r="O288" s="80">
        <f>+D288-I288</f>
        <v>0</v>
      </c>
      <c r="P288" s="77"/>
      <c r="Q288" s="6" t="str">
        <f t="shared" si="137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7"/>
        <v>OKE</v>
      </c>
      <c r="R289" s="6"/>
    </row>
    <row r="290" spans="1:18" ht="15" hidden="1" thickBot="1" x14ac:dyDescent="0.25">
      <c r="A290" s="74">
        <v>4</v>
      </c>
      <c r="B290" s="75" t="s">
        <v>29</v>
      </c>
      <c r="C290" s="76" t="s">
        <v>30</v>
      </c>
      <c r="D290" s="15">
        <v>40000000</v>
      </c>
      <c r="E290" s="15"/>
      <c r="F290" s="15"/>
      <c r="G290" s="80">
        <v>26250000</v>
      </c>
      <c r="H290" s="79">
        <v>6550000</v>
      </c>
      <c r="I290" s="15">
        <f>+G290+H290</f>
        <v>32800000</v>
      </c>
      <c r="J290" s="16">
        <f>+I290/D290</f>
        <v>0.82</v>
      </c>
      <c r="K290" s="80">
        <v>25488500</v>
      </c>
      <c r="L290" s="80">
        <v>5841500</v>
      </c>
      <c r="M290" s="80">
        <f>+K290+L290</f>
        <v>31330000</v>
      </c>
      <c r="N290" s="16">
        <f>+M290/D290</f>
        <v>0.78325</v>
      </c>
      <c r="O290" s="80">
        <f>+D290-I290</f>
        <v>7200000</v>
      </c>
      <c r="P290" s="77"/>
      <c r="Q290" s="6" t="str">
        <f t="shared" si="137"/>
        <v>OKE</v>
      </c>
      <c r="R290" s="6"/>
    </row>
    <row r="291" spans="1:18" ht="15" hidden="1" thickBot="1" x14ac:dyDescent="0.25">
      <c r="A291" s="74"/>
      <c r="B291" s="74"/>
      <c r="C291" s="76"/>
      <c r="D291" s="15"/>
      <c r="E291" s="15"/>
      <c r="F291" s="15"/>
      <c r="G291" s="80"/>
      <c r="H291" s="79"/>
      <c r="I291" s="80"/>
      <c r="J291" s="80"/>
      <c r="K291" s="80"/>
      <c r="L291" s="76"/>
      <c r="M291" s="76"/>
      <c r="N291" s="76"/>
      <c r="O291" s="76"/>
      <c r="P291" s="77"/>
      <c r="Q291" s="6" t="str">
        <f t="shared" si="137"/>
        <v>OKE</v>
      </c>
      <c r="R291" s="6"/>
    </row>
    <row r="292" spans="1:18" ht="15" hidden="1" thickBot="1" x14ac:dyDescent="0.25">
      <c r="A292" s="74"/>
      <c r="B292" s="74"/>
      <c r="C292" s="9" t="s">
        <v>48</v>
      </c>
      <c r="D292" s="10">
        <f>+D290+D288+D286+D281</f>
        <v>352575000</v>
      </c>
      <c r="E292" s="10"/>
      <c r="F292" s="10"/>
      <c r="G292" s="10">
        <f>+G290+G288+G286+G281</f>
        <v>130595000</v>
      </c>
      <c r="H292" s="11">
        <f>+H290+H288+H286+H281</f>
        <v>200225000</v>
      </c>
      <c r="I292" s="10">
        <f>+G292+H292</f>
        <v>330820000</v>
      </c>
      <c r="J292" s="12">
        <f>+I292/D292</f>
        <v>0.9382968162802241</v>
      </c>
      <c r="K292" s="10">
        <f>+K290+K288+K286+K281</f>
        <v>124051000</v>
      </c>
      <c r="L292" s="10">
        <f>+L290+L288+L286+L281</f>
        <v>199372700</v>
      </c>
      <c r="M292" s="10">
        <f>+K292+L292</f>
        <v>323423700</v>
      </c>
      <c r="N292" s="12">
        <f>+M292/D292</f>
        <v>0.91731886832588816</v>
      </c>
      <c r="O292" s="10">
        <f>+D292-I292</f>
        <v>21755000</v>
      </c>
      <c r="P292" s="77"/>
      <c r="Q292" s="6" t="str">
        <f t="shared" si="137"/>
        <v>OKE</v>
      </c>
      <c r="R292" s="6"/>
    </row>
    <row r="293" spans="1:18" ht="15" hidden="1" thickBot="1" x14ac:dyDescent="0.25">
      <c r="A293" s="85"/>
      <c r="B293" s="85"/>
      <c r="C293" s="34" t="s">
        <v>31</v>
      </c>
      <c r="D293" s="35"/>
      <c r="E293" s="35"/>
      <c r="F293" s="35"/>
      <c r="G293" s="259"/>
      <c r="H293" s="260"/>
      <c r="I293" s="259"/>
      <c r="J293" s="259"/>
      <c r="K293" s="259"/>
      <c r="L293" s="261"/>
      <c r="M293" s="261"/>
      <c r="N293" s="261"/>
      <c r="O293" s="261"/>
      <c r="P293" s="77"/>
      <c r="Q293" s="6" t="str">
        <f t="shared" si="137"/>
        <v>OKE</v>
      </c>
      <c r="R293" s="6"/>
    </row>
    <row r="294" spans="1:18" ht="15" hidden="1" thickBot="1" x14ac:dyDescent="0.25">
      <c r="A294" s="74"/>
      <c r="B294" s="74"/>
      <c r="C294" s="76"/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7"/>
        <v>OKE</v>
      </c>
      <c r="R294" s="6"/>
    </row>
    <row r="295" spans="1:18" ht="15" hidden="1" thickBot="1" x14ac:dyDescent="0.25">
      <c r="A295" s="7" t="s">
        <v>32</v>
      </c>
      <c r="B295" s="7" t="s">
        <v>33</v>
      </c>
      <c r="C295" s="9" t="s">
        <v>83</v>
      </c>
      <c r="D295" s="10">
        <f>+D298</f>
        <v>75000000</v>
      </c>
      <c r="E295" s="10"/>
      <c r="F295" s="10"/>
      <c r="G295" s="10">
        <f>+G298</f>
        <v>45335300</v>
      </c>
      <c r="H295" s="11">
        <f>+H298</f>
        <v>26800000</v>
      </c>
      <c r="I295" s="10">
        <f>+G295+H295</f>
        <v>72135300</v>
      </c>
      <c r="J295" s="12">
        <f>+I295/D295</f>
        <v>0.96180399999999999</v>
      </c>
      <c r="K295" s="10">
        <f>+K298</f>
        <v>43643800</v>
      </c>
      <c r="L295" s="10">
        <f>+L298</f>
        <v>24769900</v>
      </c>
      <c r="M295" s="10">
        <f>+K295+L295</f>
        <v>68413700</v>
      </c>
      <c r="N295" s="12">
        <f>+M295/D295</f>
        <v>0.9121826666666667</v>
      </c>
      <c r="O295" s="10">
        <f>+D295-I295</f>
        <v>2864700</v>
      </c>
      <c r="P295" s="77"/>
      <c r="Q295" s="6" t="str">
        <f t="shared" si="137"/>
        <v>OKE</v>
      </c>
      <c r="R295" s="6"/>
    </row>
    <row r="296" spans="1:18" ht="15" hidden="1" thickBot="1" x14ac:dyDescent="0.25">
      <c r="A296" s="74"/>
      <c r="B296" s="74"/>
      <c r="C296" s="9" t="s">
        <v>49</v>
      </c>
      <c r="D296" s="15"/>
      <c r="E296" s="15"/>
      <c r="F296" s="15"/>
      <c r="G296" s="80"/>
      <c r="H296" s="79"/>
      <c r="I296" s="80"/>
      <c r="J296" s="80"/>
      <c r="K296" s="80"/>
      <c r="L296" s="76"/>
      <c r="M296" s="76"/>
      <c r="N296" s="76"/>
      <c r="O296" s="76"/>
      <c r="P296" s="77"/>
      <c r="Q296" s="6" t="str">
        <f t="shared" si="137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7"/>
        <v>OKE</v>
      </c>
      <c r="R297" s="6"/>
    </row>
    <row r="298" spans="1:18" ht="15" hidden="1" thickBot="1" x14ac:dyDescent="0.25">
      <c r="A298" s="74">
        <v>5</v>
      </c>
      <c r="B298" s="75" t="s">
        <v>34</v>
      </c>
      <c r="C298" s="8" t="s">
        <v>35</v>
      </c>
      <c r="D298" s="15">
        <v>75000000</v>
      </c>
      <c r="E298" s="15"/>
      <c r="F298" s="15"/>
      <c r="G298" s="80">
        <v>45335300</v>
      </c>
      <c r="H298" s="79">
        <v>26800000</v>
      </c>
      <c r="I298" s="15">
        <f>+G298+H298</f>
        <v>72135300</v>
      </c>
      <c r="J298" s="16">
        <f>+I298/D298</f>
        <v>0.96180399999999999</v>
      </c>
      <c r="K298" s="80">
        <v>43643800</v>
      </c>
      <c r="L298" s="80">
        <v>24769900</v>
      </c>
      <c r="M298" s="80">
        <f>+K298+L298</f>
        <v>68413700</v>
      </c>
      <c r="N298" s="16">
        <f>+M298/D298</f>
        <v>0.9121826666666667</v>
      </c>
      <c r="O298" s="80">
        <f>+D298-I298</f>
        <v>2864700</v>
      </c>
      <c r="P298" s="77"/>
      <c r="Q298" s="6" t="str">
        <f t="shared" si="137"/>
        <v>OKE</v>
      </c>
      <c r="R298" s="6"/>
    </row>
    <row r="299" spans="1:18" ht="15" hidden="1" thickBot="1" x14ac:dyDescent="0.25">
      <c r="A299" s="74"/>
      <c r="B299" s="74"/>
      <c r="C299" s="76"/>
      <c r="D299" s="15"/>
      <c r="E299" s="15"/>
      <c r="F299" s="15"/>
      <c r="G299" s="80"/>
      <c r="H299" s="79"/>
      <c r="I299" s="80"/>
      <c r="J299" s="80"/>
      <c r="K299" s="80"/>
      <c r="L299" s="76"/>
      <c r="M299" s="76"/>
      <c r="N299" s="76"/>
      <c r="O299" s="76"/>
      <c r="P299" s="77"/>
      <c r="Q299" s="6" t="str">
        <f t="shared" si="137"/>
        <v>OKE</v>
      </c>
      <c r="R299" s="6"/>
    </row>
    <row r="300" spans="1:18" ht="15" hidden="1" thickBot="1" x14ac:dyDescent="0.25">
      <c r="A300" s="74"/>
      <c r="B300" s="74"/>
      <c r="C300" s="9" t="s">
        <v>65</v>
      </c>
      <c r="D300" s="10">
        <f>+D298</f>
        <v>75000000</v>
      </c>
      <c r="E300" s="10"/>
      <c r="F300" s="10"/>
      <c r="G300" s="10">
        <f>+G298</f>
        <v>45335300</v>
      </c>
      <c r="H300" s="11">
        <f>+H298</f>
        <v>26800000</v>
      </c>
      <c r="I300" s="10">
        <f>+G300+H300</f>
        <v>72135300</v>
      </c>
      <c r="J300" s="12">
        <f>+I300/D300</f>
        <v>0.96180399999999999</v>
      </c>
      <c r="K300" s="10">
        <f>+K298</f>
        <v>43643800</v>
      </c>
      <c r="L300" s="10">
        <f>+L298</f>
        <v>24769900</v>
      </c>
      <c r="M300" s="10">
        <f>+K300+L300</f>
        <v>68413700</v>
      </c>
      <c r="N300" s="12">
        <f>+M300/D300</f>
        <v>0.9121826666666667</v>
      </c>
      <c r="O300" s="10">
        <f>+D300-I300</f>
        <v>2864700</v>
      </c>
      <c r="P300" s="77"/>
      <c r="Q300" s="6" t="str">
        <f t="shared" si="137"/>
        <v>OKE</v>
      </c>
      <c r="R300" s="6"/>
    </row>
    <row r="301" spans="1:18" ht="15" hidden="1" thickBot="1" x14ac:dyDescent="0.25">
      <c r="A301" s="81"/>
      <c r="B301" s="81"/>
      <c r="C301" s="23" t="s">
        <v>66</v>
      </c>
      <c r="D301" s="32"/>
      <c r="E301" s="32"/>
      <c r="F301" s="32"/>
      <c r="G301" s="252"/>
      <c r="H301" s="253"/>
      <c r="I301" s="252"/>
      <c r="J301" s="252"/>
      <c r="K301" s="252"/>
      <c r="L301" s="251"/>
      <c r="M301" s="251"/>
      <c r="N301" s="251"/>
      <c r="O301" s="251"/>
      <c r="P301" s="77"/>
      <c r="Q301" s="6" t="str">
        <f t="shared" si="137"/>
        <v>OKE</v>
      </c>
      <c r="R301" s="6"/>
    </row>
    <row r="302" spans="1:18" ht="15" hidden="1" thickBot="1" x14ac:dyDescent="0.25"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7"/>
        <v>OKE</v>
      </c>
      <c r="R302" s="6"/>
    </row>
    <row r="303" spans="1:18" ht="15" hidden="1" thickBot="1" x14ac:dyDescent="0.25"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7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7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7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7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7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37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7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ref="Q310:Q373" si="141">IF(M310&lt;=I310,"OKE","Salah")</f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1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1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1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1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1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1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1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1"/>
        <v>OKE</v>
      </c>
      <c r="R318" s="6"/>
    </row>
    <row r="319" spans="1:18" ht="15" hidden="1" thickBot="1" x14ac:dyDescent="0.25">
      <c r="A319" s="77"/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1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1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1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1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1"/>
        <v>OKE</v>
      </c>
      <c r="R323" s="6"/>
    </row>
    <row r="324" spans="1:18" ht="15" hidden="1" thickBot="1" x14ac:dyDescent="0.25">
      <c r="B324" s="88"/>
      <c r="C324" s="77"/>
      <c r="D324" s="31"/>
      <c r="E324" s="31"/>
      <c r="F324" s="31"/>
      <c r="G324" s="179"/>
      <c r="H324" s="258"/>
      <c r="I324" s="179"/>
      <c r="J324" s="179"/>
      <c r="K324" s="179"/>
      <c r="L324" s="77"/>
      <c r="M324" s="77"/>
      <c r="N324" s="77"/>
      <c r="O324" s="77"/>
      <c r="P324" s="77"/>
      <c r="Q324" s="6" t="str">
        <f t="shared" si="141"/>
        <v>OKE</v>
      </c>
      <c r="R324" s="6"/>
    </row>
    <row r="325" spans="1:18" ht="15" hidden="1" thickBot="1" x14ac:dyDescent="0.25">
      <c r="A325" s="407"/>
      <c r="B325" s="407"/>
      <c r="C325" s="407"/>
      <c r="D325" s="407"/>
      <c r="E325" s="407"/>
      <c r="F325" s="407"/>
      <c r="G325" s="407"/>
      <c r="H325" s="407"/>
      <c r="I325" s="407"/>
      <c r="J325" s="407"/>
      <c r="K325" s="407"/>
      <c r="L325" s="407"/>
      <c r="M325" s="407"/>
      <c r="N325" s="407"/>
      <c r="O325" s="407"/>
      <c r="P325" s="77"/>
      <c r="Q325" s="6" t="str">
        <f t="shared" si="141"/>
        <v>OKE</v>
      </c>
      <c r="R325" s="6"/>
    </row>
    <row r="326" spans="1:18" ht="14.1" hidden="1" customHeight="1" x14ac:dyDescent="0.2">
      <c r="A326" s="361" t="s">
        <v>2</v>
      </c>
      <c r="B326" s="361" t="s">
        <v>3</v>
      </c>
      <c r="C326" s="361" t="s">
        <v>4</v>
      </c>
      <c r="D326" s="361" t="s">
        <v>5</v>
      </c>
      <c r="E326" s="197"/>
      <c r="F326" s="197"/>
      <c r="G326" s="358" t="s">
        <v>11</v>
      </c>
      <c r="H326" s="359"/>
      <c r="I326" s="359"/>
      <c r="J326" s="360"/>
      <c r="K326" s="358" t="s">
        <v>9</v>
      </c>
      <c r="L326" s="359"/>
      <c r="M326" s="359"/>
      <c r="N326" s="360"/>
      <c r="O326" s="361" t="s">
        <v>10</v>
      </c>
      <c r="P326" s="77"/>
      <c r="Q326" s="6" t="str">
        <f t="shared" si="141"/>
        <v>OKE</v>
      </c>
      <c r="R326" s="6"/>
    </row>
    <row r="327" spans="1:18" ht="14.1" hidden="1" customHeight="1" x14ac:dyDescent="0.2">
      <c r="A327" s="362"/>
      <c r="B327" s="362"/>
      <c r="C327" s="362"/>
      <c r="D327" s="362"/>
      <c r="E327" s="44"/>
      <c r="F327" s="44"/>
      <c r="G327" s="358" t="s">
        <v>74</v>
      </c>
      <c r="H327" s="359"/>
      <c r="I327" s="359"/>
      <c r="J327" s="360"/>
      <c r="K327" s="358" t="s">
        <v>12</v>
      </c>
      <c r="L327" s="359"/>
      <c r="M327" s="359"/>
      <c r="N327" s="360"/>
      <c r="O327" s="362"/>
      <c r="P327" s="77"/>
      <c r="Q327" s="6" t="str">
        <f t="shared" si="141"/>
        <v>OKE</v>
      </c>
      <c r="R327" s="6"/>
    </row>
    <row r="328" spans="1:18" ht="15" hidden="1" thickBot="1" x14ac:dyDescent="0.25">
      <c r="A328" s="378"/>
      <c r="B328" s="378"/>
      <c r="C328" s="378"/>
      <c r="D328" s="378"/>
      <c r="E328" s="196"/>
      <c r="F328" s="196"/>
      <c r="G328" s="144" t="s">
        <v>13</v>
      </c>
      <c r="H328" s="145" t="s">
        <v>14</v>
      </c>
      <c r="I328" s="144" t="s">
        <v>15</v>
      </c>
      <c r="J328" s="144" t="s">
        <v>16</v>
      </c>
      <c r="K328" s="144" t="s">
        <v>13</v>
      </c>
      <c r="L328" s="144" t="s">
        <v>14</v>
      </c>
      <c r="M328" s="144" t="s">
        <v>15</v>
      </c>
      <c r="N328" s="144" t="s">
        <v>16</v>
      </c>
      <c r="O328" s="378"/>
      <c r="P328" s="77"/>
      <c r="Q328" s="6" t="str">
        <f t="shared" si="141"/>
        <v>OKE</v>
      </c>
      <c r="R328" s="6"/>
    </row>
    <row r="329" spans="1:18" ht="15" hidden="1" thickBot="1" x14ac:dyDescent="0.25">
      <c r="A329" s="2">
        <v>1</v>
      </c>
      <c r="B329" s="2">
        <v>2</v>
      </c>
      <c r="C329" s="2">
        <v>3</v>
      </c>
      <c r="D329" s="2">
        <v>4</v>
      </c>
      <c r="E329" s="2"/>
      <c r="F329" s="2"/>
      <c r="G329" s="2">
        <v>5</v>
      </c>
      <c r="H329" s="145">
        <v>6</v>
      </c>
      <c r="I329" s="45" t="s">
        <v>77</v>
      </c>
      <c r="J329" s="45" t="s">
        <v>78</v>
      </c>
      <c r="K329" s="45">
        <v>9</v>
      </c>
      <c r="L329" s="45">
        <v>10</v>
      </c>
      <c r="M329" s="45" t="s">
        <v>79</v>
      </c>
      <c r="N329" s="45" t="s">
        <v>80</v>
      </c>
      <c r="O329" s="45" t="s">
        <v>81</v>
      </c>
      <c r="P329" s="77"/>
      <c r="Q329" s="6" t="str">
        <f t="shared" si="141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241"/>
      <c r="O330" s="241"/>
      <c r="P330" s="77"/>
      <c r="Q330" s="6" t="str">
        <f t="shared" si="141"/>
        <v>OKE</v>
      </c>
      <c r="R330" s="6"/>
    </row>
    <row r="331" spans="1:18" ht="15" hidden="1" thickBot="1" x14ac:dyDescent="0.25">
      <c r="A331" s="74"/>
      <c r="B331" s="76"/>
      <c r="C331" s="244" t="s">
        <v>82</v>
      </c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76"/>
      <c r="O331" s="76"/>
      <c r="P331" s="77"/>
      <c r="Q331" s="6" t="str">
        <f t="shared" si="141"/>
        <v>OKE</v>
      </c>
      <c r="R331" s="6"/>
    </row>
    <row r="332" spans="1:18" ht="15" hidden="1" thickBot="1" x14ac:dyDescent="0.25">
      <c r="A332" s="74"/>
      <c r="B332" s="76"/>
      <c r="C332" s="76"/>
      <c r="D332" s="8"/>
      <c r="E332" s="8"/>
      <c r="F332" s="8"/>
      <c r="G332" s="76"/>
      <c r="H332" s="82"/>
      <c r="I332" s="76"/>
      <c r="J332" s="76"/>
      <c r="K332" s="76"/>
      <c r="L332" s="76"/>
      <c r="M332" s="76"/>
      <c r="N332" s="76"/>
      <c r="O332" s="76"/>
      <c r="P332" s="77"/>
      <c r="Q332" s="6" t="str">
        <f t="shared" si="141"/>
        <v>OKE</v>
      </c>
      <c r="R332" s="6"/>
    </row>
    <row r="333" spans="1:18" ht="15" hidden="1" thickBot="1" x14ac:dyDescent="0.25">
      <c r="A333" s="7" t="s">
        <v>38</v>
      </c>
      <c r="B333" s="7" t="s">
        <v>75</v>
      </c>
      <c r="C333" s="9" t="s">
        <v>84</v>
      </c>
      <c r="D333" s="10">
        <f>+D336+D339+D341+D343</f>
        <v>253000000</v>
      </c>
      <c r="E333" s="10"/>
      <c r="F333" s="10"/>
      <c r="G333" s="10">
        <f>+G336+G339+G341+G343</f>
        <v>196063600</v>
      </c>
      <c r="H333" s="11">
        <f>+H336+H339+H341+H343</f>
        <v>54435500</v>
      </c>
      <c r="I333" s="10">
        <f>+G333+H333</f>
        <v>250499100</v>
      </c>
      <c r="J333" s="12">
        <f>+I333/D333</f>
        <v>0.99011501976284588</v>
      </c>
      <c r="K333" s="10">
        <f>+K336+K339+K341+K343</f>
        <v>195569100</v>
      </c>
      <c r="L333" s="10">
        <f>+L336+L339+L341+L343</f>
        <v>54908000</v>
      </c>
      <c r="M333" s="10">
        <f>+K333+L333</f>
        <v>250477100</v>
      </c>
      <c r="N333" s="12">
        <f>+M333/D333</f>
        <v>0.9900280632411067</v>
      </c>
      <c r="O333" s="10">
        <f>+D333-I333</f>
        <v>2500900</v>
      </c>
      <c r="P333" s="77"/>
      <c r="Q333" s="6" t="str">
        <f t="shared" si="141"/>
        <v>OKE</v>
      </c>
      <c r="R333" s="6"/>
    </row>
    <row r="334" spans="1:18" ht="15" hidden="1" thickBot="1" x14ac:dyDescent="0.25">
      <c r="A334" s="74"/>
      <c r="B334" s="74"/>
      <c r="C334" s="9" t="s">
        <v>85</v>
      </c>
      <c r="D334" s="15"/>
      <c r="E334" s="15"/>
      <c r="F334" s="15"/>
      <c r="G334" s="80"/>
      <c r="H334" s="79"/>
      <c r="I334" s="80"/>
      <c r="J334" s="80"/>
      <c r="K334" s="80"/>
      <c r="L334" s="76"/>
      <c r="M334" s="76"/>
      <c r="N334" s="76"/>
      <c r="O334" s="76"/>
      <c r="P334" s="77"/>
      <c r="Q334" s="6" t="str">
        <f t="shared" si="141"/>
        <v>OKE</v>
      </c>
      <c r="R334" s="6"/>
    </row>
    <row r="335" spans="1:18" ht="15" hidden="1" thickBot="1" x14ac:dyDescent="0.25">
      <c r="A335" s="74"/>
      <c r="B335" s="74"/>
      <c r="C335" s="76"/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41"/>
        <v>OKE</v>
      </c>
      <c r="R335" s="6"/>
    </row>
    <row r="336" spans="1:18" ht="15" hidden="1" thickBot="1" x14ac:dyDescent="0.25">
      <c r="A336" s="74">
        <v>6</v>
      </c>
      <c r="B336" s="75" t="s">
        <v>39</v>
      </c>
      <c r="C336" s="8" t="s">
        <v>86</v>
      </c>
      <c r="D336" s="15">
        <v>38000000</v>
      </c>
      <c r="E336" s="15"/>
      <c r="F336" s="15"/>
      <c r="G336" s="80">
        <v>37612500</v>
      </c>
      <c r="H336" s="79">
        <v>0</v>
      </c>
      <c r="I336" s="15">
        <f>+G336+H336</f>
        <v>37612500</v>
      </c>
      <c r="J336" s="16">
        <f>+I336/D336</f>
        <v>0.98980263157894732</v>
      </c>
      <c r="K336" s="80">
        <v>37612500</v>
      </c>
      <c r="L336" s="80">
        <v>0</v>
      </c>
      <c r="M336" s="80">
        <f>+K336+L336</f>
        <v>37612500</v>
      </c>
      <c r="N336" s="16">
        <f>+M336/D336</f>
        <v>0.98980263157894732</v>
      </c>
      <c r="O336" s="80">
        <f>+D336-I336</f>
        <v>387500</v>
      </c>
      <c r="P336" s="77"/>
      <c r="Q336" s="6" t="str">
        <f t="shared" si="141"/>
        <v>OKE</v>
      </c>
      <c r="R336" s="6"/>
    </row>
    <row r="337" spans="1:18" ht="15" hidden="1" thickBot="1" x14ac:dyDescent="0.25">
      <c r="A337" s="74"/>
      <c r="B337" s="74"/>
      <c r="C337" s="8" t="s">
        <v>52</v>
      </c>
      <c r="D337" s="15"/>
      <c r="E337" s="15"/>
      <c r="F337" s="15"/>
      <c r="G337" s="80"/>
      <c r="H337" s="79"/>
      <c r="I337" s="80"/>
      <c r="J337" s="80"/>
      <c r="K337" s="80"/>
      <c r="L337" s="76"/>
      <c r="M337" s="76"/>
      <c r="N337" s="76"/>
      <c r="O337" s="76"/>
      <c r="P337" s="77"/>
      <c r="Q337" s="6" t="str">
        <f t="shared" si="141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41"/>
        <v>OKE</v>
      </c>
      <c r="R338" s="6"/>
    </row>
    <row r="339" spans="1:18" ht="15" hidden="1" thickBot="1" x14ac:dyDescent="0.25">
      <c r="A339" s="74">
        <v>7</v>
      </c>
      <c r="B339" s="75" t="s">
        <v>42</v>
      </c>
      <c r="C339" s="8" t="s">
        <v>53</v>
      </c>
      <c r="D339" s="15">
        <v>60000000</v>
      </c>
      <c r="E339" s="15"/>
      <c r="F339" s="15"/>
      <c r="G339" s="80">
        <v>59091100</v>
      </c>
      <c r="H339" s="79">
        <v>0</v>
      </c>
      <c r="I339" s="15">
        <f>+G339+H339</f>
        <v>59091100</v>
      </c>
      <c r="J339" s="16">
        <f>+I339/D339</f>
        <v>0.98485166666666668</v>
      </c>
      <c r="K339" s="80">
        <v>59091100</v>
      </c>
      <c r="L339" s="80">
        <v>0</v>
      </c>
      <c r="M339" s="80">
        <f>+K339+L339</f>
        <v>59091100</v>
      </c>
      <c r="N339" s="16">
        <f>+M339/D339</f>
        <v>0.98485166666666668</v>
      </c>
      <c r="O339" s="80">
        <f>+D339-I339</f>
        <v>908900</v>
      </c>
      <c r="P339" s="77"/>
      <c r="Q339" s="6" t="str">
        <f t="shared" si="141"/>
        <v>OKE</v>
      </c>
      <c r="R339" s="6"/>
    </row>
    <row r="340" spans="1:18" ht="15" hidden="1" thickBot="1" x14ac:dyDescent="0.25">
      <c r="A340" s="74"/>
      <c r="B340" s="74"/>
      <c r="C340" s="8"/>
      <c r="D340" s="15"/>
      <c r="E340" s="15"/>
      <c r="F340" s="15"/>
      <c r="G340" s="80"/>
      <c r="H340" s="79"/>
      <c r="I340" s="80"/>
      <c r="J340" s="80"/>
      <c r="K340" s="80"/>
      <c r="L340" s="76"/>
      <c r="M340" s="76"/>
      <c r="N340" s="76"/>
      <c r="O340" s="76"/>
      <c r="P340" s="77"/>
      <c r="Q340" s="6" t="str">
        <f t="shared" si="141"/>
        <v>OKE</v>
      </c>
      <c r="R340" s="6"/>
    </row>
    <row r="341" spans="1:18" ht="15" hidden="1" thickBot="1" x14ac:dyDescent="0.25">
      <c r="A341" s="74">
        <v>8</v>
      </c>
      <c r="B341" s="75" t="s">
        <v>24</v>
      </c>
      <c r="C341" s="8" t="s">
        <v>87</v>
      </c>
      <c r="D341" s="15">
        <v>65000000</v>
      </c>
      <c r="E341" s="15"/>
      <c r="F341" s="15"/>
      <c r="G341" s="80">
        <v>38340000</v>
      </c>
      <c r="H341" s="79">
        <v>25460000</v>
      </c>
      <c r="I341" s="15">
        <f>+G341+H341</f>
        <v>63800000</v>
      </c>
      <c r="J341" s="16">
        <f>+I341/D341</f>
        <v>0.98153846153846158</v>
      </c>
      <c r="K341" s="80">
        <v>37852500</v>
      </c>
      <c r="L341" s="80">
        <v>25932500</v>
      </c>
      <c r="M341" s="80">
        <f>+K341+L341</f>
        <v>63785000</v>
      </c>
      <c r="N341" s="16">
        <f>+M341/D341</f>
        <v>0.98130769230769233</v>
      </c>
      <c r="O341" s="80">
        <f>+D341-I341</f>
        <v>1200000</v>
      </c>
      <c r="P341" s="77"/>
      <c r="Q341" s="6" t="str">
        <f t="shared" si="141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46"/>
      <c r="L342" s="76"/>
      <c r="M342" s="76"/>
      <c r="N342" s="76"/>
      <c r="O342" s="76"/>
      <c r="P342" s="77"/>
      <c r="Q342" s="6" t="str">
        <f t="shared" si="141"/>
        <v>OKE</v>
      </c>
      <c r="R342" s="6"/>
    </row>
    <row r="343" spans="1:18" ht="15" hidden="1" thickBot="1" x14ac:dyDescent="0.25">
      <c r="A343" s="74">
        <v>9</v>
      </c>
      <c r="B343" s="75" t="s">
        <v>40</v>
      </c>
      <c r="C343" s="76" t="s">
        <v>88</v>
      </c>
      <c r="D343" s="47">
        <v>90000000</v>
      </c>
      <c r="E343" s="47"/>
      <c r="F343" s="47"/>
      <c r="G343" s="80">
        <v>61020000</v>
      </c>
      <c r="H343" s="79">
        <v>28975500</v>
      </c>
      <c r="I343" s="15">
        <f>+G343+H343</f>
        <v>89995500</v>
      </c>
      <c r="J343" s="16">
        <f>+I343/D343</f>
        <v>0.99995000000000001</v>
      </c>
      <c r="K343" s="80">
        <v>61013000</v>
      </c>
      <c r="L343" s="80">
        <v>28975500</v>
      </c>
      <c r="M343" s="80">
        <f>+K343+L343</f>
        <v>89988500</v>
      </c>
      <c r="N343" s="48">
        <v>0.99980000000000002</v>
      </c>
      <c r="O343" s="80">
        <f>+D343-I343</f>
        <v>4500</v>
      </c>
      <c r="P343" s="77"/>
      <c r="Q343" s="6" t="str">
        <f t="shared" si="141"/>
        <v>OKE</v>
      </c>
      <c r="R343" s="6"/>
    </row>
    <row r="344" spans="1:18" ht="15" hidden="1" thickBot="1" x14ac:dyDescent="0.25">
      <c r="A344" s="74"/>
      <c r="B344" s="76"/>
      <c r="C344" s="76"/>
      <c r="D344" s="8"/>
      <c r="E344" s="8"/>
      <c r="F344" s="8"/>
      <c r="G344" s="76"/>
      <c r="H344" s="82"/>
      <c r="I344" s="76"/>
      <c r="J344" s="76"/>
      <c r="K344" s="76"/>
      <c r="L344" s="76"/>
      <c r="M344" s="76"/>
      <c r="N344" s="76"/>
      <c r="O344" s="76"/>
      <c r="P344" s="77"/>
      <c r="Q344" s="6" t="str">
        <f t="shared" si="141"/>
        <v>OKE</v>
      </c>
      <c r="R344" s="6"/>
    </row>
    <row r="345" spans="1:18" ht="15" hidden="1" thickBot="1" x14ac:dyDescent="0.25">
      <c r="A345" s="74"/>
      <c r="B345" s="76"/>
      <c r="C345" s="9" t="s">
        <v>89</v>
      </c>
      <c r="D345" s="10">
        <f>+D343+D341+D339+D336</f>
        <v>253000000</v>
      </c>
      <c r="E345" s="10"/>
      <c r="F345" s="10"/>
      <c r="G345" s="10">
        <f>+G343+G341+G339+G336</f>
        <v>196063600</v>
      </c>
      <c r="H345" s="11">
        <f>+H343+H341+H339+H336</f>
        <v>54435500</v>
      </c>
      <c r="I345" s="10">
        <f>+G345+H345</f>
        <v>250499100</v>
      </c>
      <c r="J345" s="12">
        <f>+I345/D345</f>
        <v>0.99011501976284588</v>
      </c>
      <c r="K345" s="10">
        <f>+K343+K341+K339+K336</f>
        <v>195569100</v>
      </c>
      <c r="L345" s="10">
        <f>+L343+L341+L339+L336</f>
        <v>54908000</v>
      </c>
      <c r="M345" s="10">
        <f>+K345+L345</f>
        <v>250477100</v>
      </c>
      <c r="N345" s="12">
        <f>+M345/D345</f>
        <v>0.9900280632411067</v>
      </c>
      <c r="O345" s="10">
        <f>+D345-I345</f>
        <v>2500900</v>
      </c>
      <c r="P345" s="77"/>
      <c r="Q345" s="6" t="str">
        <f t="shared" si="141"/>
        <v>OKE</v>
      </c>
      <c r="R345" s="6"/>
    </row>
    <row r="346" spans="1:18" ht="15" hidden="1" thickBot="1" x14ac:dyDescent="0.25">
      <c r="A346" s="85"/>
      <c r="B346" s="261"/>
      <c r="C346" s="34" t="s">
        <v>90</v>
      </c>
      <c r="D346" s="49"/>
      <c r="E346" s="49"/>
      <c r="F346" s="49"/>
      <c r="G346" s="261"/>
      <c r="H346" s="262"/>
      <c r="I346" s="261"/>
      <c r="J346" s="261"/>
      <c r="K346" s="261"/>
      <c r="L346" s="261"/>
      <c r="M346" s="261"/>
      <c r="N346" s="261"/>
      <c r="O346" s="261"/>
      <c r="P346" s="77"/>
      <c r="Q346" s="6" t="str">
        <f t="shared" si="141"/>
        <v>OKE</v>
      </c>
      <c r="R346" s="6"/>
    </row>
    <row r="347" spans="1:18" ht="15" hidden="1" thickBot="1" x14ac:dyDescent="0.25">
      <c r="A347" s="74"/>
      <c r="B347" s="76"/>
      <c r="C347" s="76"/>
      <c r="D347" s="8"/>
      <c r="E347" s="8"/>
      <c r="F347" s="8"/>
      <c r="G347" s="76"/>
      <c r="H347" s="82"/>
      <c r="I347" s="76"/>
      <c r="J347" s="76"/>
      <c r="K347" s="76"/>
      <c r="L347" s="76"/>
      <c r="M347" s="76"/>
      <c r="N347" s="76"/>
      <c r="O347" s="76"/>
      <c r="P347" s="50"/>
      <c r="Q347" s="6" t="str">
        <f t="shared" si="141"/>
        <v>OKE</v>
      </c>
      <c r="R347" s="6"/>
    </row>
    <row r="348" spans="1:18" ht="15" hidden="1" thickBot="1" x14ac:dyDescent="0.25">
      <c r="A348" s="7" t="s">
        <v>41</v>
      </c>
      <c r="B348" s="7" t="s">
        <v>54</v>
      </c>
      <c r="C348" s="9" t="s">
        <v>91</v>
      </c>
      <c r="D348" s="10">
        <f>+D351</f>
        <v>105000000</v>
      </c>
      <c r="E348" s="10"/>
      <c r="F348" s="10"/>
      <c r="G348" s="10">
        <f>+G351</f>
        <v>105000000</v>
      </c>
      <c r="H348" s="11">
        <f>+H351</f>
        <v>0</v>
      </c>
      <c r="I348" s="10">
        <f>+G348+H348</f>
        <v>105000000</v>
      </c>
      <c r="J348" s="12">
        <f>+I348/D348</f>
        <v>1</v>
      </c>
      <c r="K348" s="10">
        <f>+K351</f>
        <v>104800000</v>
      </c>
      <c r="L348" s="10">
        <f>+L351</f>
        <v>0</v>
      </c>
      <c r="M348" s="10">
        <f>+K348+L348</f>
        <v>104800000</v>
      </c>
      <c r="N348" s="12">
        <f>+M348/D348</f>
        <v>0.99809523809523815</v>
      </c>
      <c r="O348" s="10">
        <f>+D348-I348</f>
        <v>0</v>
      </c>
      <c r="P348" s="5"/>
      <c r="Q348" s="6" t="str">
        <f t="shared" si="141"/>
        <v>OKE</v>
      </c>
      <c r="R348" s="6"/>
    </row>
    <row r="349" spans="1:18" ht="15" hidden="1" thickBot="1" x14ac:dyDescent="0.25">
      <c r="A349" s="74"/>
      <c r="B349" s="76"/>
      <c r="C349" s="9" t="s">
        <v>92</v>
      </c>
      <c r="D349" s="15"/>
      <c r="E349" s="15"/>
      <c r="F349" s="15"/>
      <c r="G349" s="80"/>
      <c r="H349" s="79"/>
      <c r="I349" s="80"/>
      <c r="J349" s="80"/>
      <c r="K349" s="80"/>
      <c r="L349" s="76"/>
      <c r="M349" s="76"/>
      <c r="N349" s="76"/>
      <c r="O349" s="76"/>
      <c r="P349" s="5"/>
      <c r="Q349" s="6" t="str">
        <f t="shared" si="141"/>
        <v>OKE</v>
      </c>
      <c r="R349" s="6"/>
    </row>
    <row r="350" spans="1:18" ht="15" hidden="1" thickBot="1" x14ac:dyDescent="0.25">
      <c r="A350" s="74"/>
      <c r="B350" s="76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41"/>
        <v>OKE</v>
      </c>
      <c r="R350" s="6"/>
    </row>
    <row r="351" spans="1:18" ht="15" hidden="1" thickBot="1" x14ac:dyDescent="0.25">
      <c r="A351" s="74">
        <v>10</v>
      </c>
      <c r="B351" s="75" t="s">
        <v>43</v>
      </c>
      <c r="C351" s="8" t="s">
        <v>93</v>
      </c>
      <c r="D351" s="15">
        <v>105000000</v>
      </c>
      <c r="E351" s="15"/>
      <c r="F351" s="15"/>
      <c r="G351" s="80">
        <v>105000000</v>
      </c>
      <c r="H351" s="79">
        <v>0</v>
      </c>
      <c r="I351" s="15">
        <f>+G351+H351</f>
        <v>105000000</v>
      </c>
      <c r="J351" s="16">
        <f>+I351/D351</f>
        <v>1</v>
      </c>
      <c r="K351" s="80">
        <v>104800000</v>
      </c>
      <c r="L351" s="80">
        <v>0</v>
      </c>
      <c r="M351" s="80">
        <f>+K351+L351</f>
        <v>104800000</v>
      </c>
      <c r="N351" s="16">
        <f>+M351/D351</f>
        <v>0.99809523809523815</v>
      </c>
      <c r="O351" s="80">
        <f>+D351-I351</f>
        <v>0</v>
      </c>
      <c r="P351" s="5"/>
      <c r="Q351" s="6" t="str">
        <f t="shared" si="141"/>
        <v>OKE</v>
      </c>
      <c r="R351" s="6"/>
    </row>
    <row r="352" spans="1:18" ht="15" hidden="1" thickBot="1" x14ac:dyDescent="0.25">
      <c r="A352" s="74"/>
      <c r="B352" s="74"/>
      <c r="C352" s="76"/>
      <c r="D352" s="15"/>
      <c r="E352" s="15"/>
      <c r="F352" s="15"/>
      <c r="G352" s="80"/>
      <c r="H352" s="79"/>
      <c r="I352" s="80"/>
      <c r="J352" s="80"/>
      <c r="K352" s="80"/>
      <c r="L352" s="76"/>
      <c r="M352" s="76"/>
      <c r="N352" s="76"/>
      <c r="O352" s="76"/>
      <c r="P352" s="5"/>
      <c r="Q352" s="6" t="str">
        <f t="shared" si="141"/>
        <v>OKE</v>
      </c>
      <c r="R352" s="6"/>
    </row>
    <row r="353" spans="1:18" ht="15" hidden="1" thickBot="1" x14ac:dyDescent="0.25">
      <c r="A353" s="74"/>
      <c r="B353" s="74"/>
      <c r="C353" s="9" t="s">
        <v>94</v>
      </c>
      <c r="D353" s="10">
        <f>+D351</f>
        <v>105000000</v>
      </c>
      <c r="E353" s="10"/>
      <c r="F353" s="10"/>
      <c r="G353" s="10">
        <f>+G351</f>
        <v>105000000</v>
      </c>
      <c r="H353" s="11">
        <f>+H351</f>
        <v>0</v>
      </c>
      <c r="I353" s="10">
        <f>+G353+H353</f>
        <v>105000000</v>
      </c>
      <c r="J353" s="12">
        <f>+I353/D353</f>
        <v>1</v>
      </c>
      <c r="K353" s="10">
        <f>+K351</f>
        <v>104800000</v>
      </c>
      <c r="L353" s="10">
        <f>+L351</f>
        <v>0</v>
      </c>
      <c r="M353" s="10">
        <f>+K353+L353</f>
        <v>104800000</v>
      </c>
      <c r="N353" s="12">
        <f>+M353/D353</f>
        <v>0.99809523809523815</v>
      </c>
      <c r="O353" s="10">
        <f>+D353-I353</f>
        <v>0</v>
      </c>
      <c r="P353" s="5"/>
      <c r="Q353" s="6" t="str">
        <f t="shared" si="141"/>
        <v>OKE</v>
      </c>
      <c r="R353" s="6"/>
    </row>
    <row r="354" spans="1:18" ht="15" hidden="1" thickBot="1" x14ac:dyDescent="0.25">
      <c r="A354" s="85"/>
      <c r="B354" s="85"/>
      <c r="C354" s="34" t="s">
        <v>55</v>
      </c>
      <c r="D354" s="35"/>
      <c r="E354" s="35"/>
      <c r="F354" s="35"/>
      <c r="G354" s="259"/>
      <c r="H354" s="260"/>
      <c r="I354" s="259"/>
      <c r="J354" s="259"/>
      <c r="K354" s="259"/>
      <c r="L354" s="261"/>
      <c r="M354" s="261"/>
      <c r="N354" s="261"/>
      <c r="O354" s="261"/>
      <c r="P354" s="5"/>
      <c r="Q354" s="6" t="str">
        <f t="shared" si="141"/>
        <v>OKE</v>
      </c>
      <c r="R354" s="6"/>
    </row>
    <row r="355" spans="1:18" ht="15" hidden="1" thickBot="1" x14ac:dyDescent="0.25">
      <c r="A355" s="91"/>
      <c r="B355" s="91"/>
      <c r="C355" s="51"/>
      <c r="D355" s="52"/>
      <c r="E355" s="52"/>
      <c r="F355" s="52"/>
      <c r="G355" s="263"/>
      <c r="H355" s="264"/>
      <c r="I355" s="263"/>
      <c r="J355" s="263"/>
      <c r="K355" s="263"/>
      <c r="L355" s="265"/>
      <c r="M355" s="265"/>
      <c r="N355" s="265"/>
      <c r="O355" s="265"/>
      <c r="P355" s="5"/>
      <c r="Q355" s="6" t="str">
        <f t="shared" si="141"/>
        <v>OKE</v>
      </c>
      <c r="R355" s="6"/>
    </row>
    <row r="356" spans="1:18" ht="15" hidden="1" thickBot="1" x14ac:dyDescent="0.25">
      <c r="A356" s="411" t="s">
        <v>95</v>
      </c>
      <c r="B356" s="411"/>
      <c r="C356" s="413" t="s">
        <v>96</v>
      </c>
      <c r="D356" s="415">
        <f>+D353+D345+D300+D292</f>
        <v>785575000</v>
      </c>
      <c r="E356" s="198"/>
      <c r="F356" s="198"/>
      <c r="G356" s="415">
        <f>+G353+G345+G300+G292</f>
        <v>476993900</v>
      </c>
      <c r="H356" s="417">
        <f>+H353+H345+H300+H292</f>
        <v>281460500</v>
      </c>
      <c r="I356" s="415">
        <f>+G356+H356</f>
        <v>758454400</v>
      </c>
      <c r="J356" s="419">
        <f>+I356/D356</f>
        <v>0.96547675269706901</v>
      </c>
      <c r="K356" s="415">
        <f>+K353+K345+K300+K292</f>
        <v>468063900</v>
      </c>
      <c r="L356" s="415">
        <f>+L353+L345+L300+L292</f>
        <v>279050600</v>
      </c>
      <c r="M356" s="421">
        <f>+K356+L356</f>
        <v>747114500</v>
      </c>
      <c r="N356" s="423">
        <f>+M356/D356</f>
        <v>0.95104159373707153</v>
      </c>
      <c r="O356" s="421">
        <f>+D356-I356</f>
        <v>27120600</v>
      </c>
      <c r="P356" s="5"/>
      <c r="Q356" s="6" t="str">
        <f t="shared" si="141"/>
        <v>OKE</v>
      </c>
      <c r="R356" s="6"/>
    </row>
    <row r="357" spans="1:18" ht="15" hidden="1" thickBot="1" x14ac:dyDescent="0.25">
      <c r="A357" s="412"/>
      <c r="B357" s="412"/>
      <c r="C357" s="414"/>
      <c r="D357" s="416"/>
      <c r="E357" s="199"/>
      <c r="F357" s="199"/>
      <c r="G357" s="416"/>
      <c r="H357" s="418"/>
      <c r="I357" s="416"/>
      <c r="J357" s="420"/>
      <c r="K357" s="416"/>
      <c r="L357" s="416"/>
      <c r="M357" s="422"/>
      <c r="N357" s="424"/>
      <c r="O357" s="422"/>
      <c r="P357" s="5"/>
      <c r="Q357" s="6" t="str">
        <f t="shared" si="141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41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41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41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41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41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41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41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41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41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41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41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41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41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41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si="141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41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ref="Q374:Q437" si="142">IF(M374&lt;=I374,"OKE","Salah")</f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42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42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42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267"/>
      <c r="M378" s="90"/>
      <c r="N378" s="90"/>
      <c r="O378" s="90"/>
      <c r="P378" s="5"/>
      <c r="Q378" s="6" t="str">
        <f t="shared" si="142"/>
        <v>OKE</v>
      </c>
      <c r="R378" s="6"/>
    </row>
    <row r="379" spans="1:18" ht="15" hidden="1" thickBot="1" x14ac:dyDescent="0.25">
      <c r="A379" s="90"/>
      <c r="B379" s="90"/>
      <c r="C379" s="37"/>
      <c r="D379" s="37"/>
      <c r="E379" s="37"/>
      <c r="F379" s="37"/>
      <c r="G379" s="90"/>
      <c r="H379" s="266"/>
      <c r="I379" s="90"/>
      <c r="J379" s="90"/>
      <c r="K379" s="90"/>
      <c r="L379" s="267"/>
      <c r="M379" s="90"/>
      <c r="N379" s="90"/>
      <c r="O379" s="90"/>
      <c r="P379" s="5"/>
      <c r="Q379" s="6" t="str">
        <f t="shared" si="142"/>
        <v>OKE</v>
      </c>
      <c r="R379" s="6"/>
    </row>
    <row r="380" spans="1:18" ht="14.1" hidden="1" customHeight="1" x14ac:dyDescent="0.2">
      <c r="A380" s="410" t="s">
        <v>0</v>
      </c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5"/>
      <c r="Q380" s="6" t="str">
        <f t="shared" si="142"/>
        <v>OKE</v>
      </c>
      <c r="R380" s="6"/>
    </row>
    <row r="381" spans="1:18" ht="14.1" hidden="1" customHeight="1" x14ac:dyDescent="0.2">
      <c r="A381" s="410" t="s">
        <v>1</v>
      </c>
      <c r="B381" s="410"/>
      <c r="C381" s="410"/>
      <c r="D381" s="410"/>
      <c r="E381" s="410"/>
      <c r="F381" s="410"/>
      <c r="G381" s="410"/>
      <c r="H381" s="410"/>
      <c r="I381" s="410"/>
      <c r="J381" s="410"/>
      <c r="K381" s="410"/>
      <c r="L381" s="410"/>
      <c r="M381" s="410"/>
      <c r="N381" s="410"/>
      <c r="O381" s="410"/>
      <c r="P381" s="5"/>
      <c r="Q381" s="6" t="str">
        <f t="shared" si="142"/>
        <v>OKE</v>
      </c>
      <c r="R381" s="6"/>
    </row>
    <row r="382" spans="1:18" ht="14.1" hidden="1" customHeight="1" x14ac:dyDescent="0.2">
      <c r="A382" s="407" t="s">
        <v>111</v>
      </c>
      <c r="B382" s="407"/>
      <c r="C382" s="407"/>
      <c r="D382" s="407"/>
      <c r="E382" s="407"/>
      <c r="F382" s="407"/>
      <c r="G382" s="407"/>
      <c r="H382" s="407"/>
      <c r="I382" s="407"/>
      <c r="J382" s="407"/>
      <c r="K382" s="407"/>
      <c r="L382" s="407"/>
      <c r="M382" s="407"/>
      <c r="N382" s="407"/>
      <c r="O382" s="407"/>
      <c r="P382" s="5"/>
      <c r="Q382" s="6" t="str">
        <f t="shared" si="142"/>
        <v>OKE</v>
      </c>
      <c r="R382" s="6"/>
    </row>
    <row r="383" spans="1:18" ht="14.1" hidden="1" customHeight="1" x14ac:dyDescent="0.2">
      <c r="A383" s="361" t="s">
        <v>2</v>
      </c>
      <c r="B383" s="361" t="s">
        <v>3</v>
      </c>
      <c r="C383" s="361" t="s">
        <v>4</v>
      </c>
      <c r="D383" s="361" t="s">
        <v>5</v>
      </c>
      <c r="E383" s="197"/>
      <c r="F383" s="197"/>
      <c r="G383" s="358" t="s">
        <v>11</v>
      </c>
      <c r="H383" s="359"/>
      <c r="I383" s="359"/>
      <c r="J383" s="360"/>
      <c r="K383" s="358" t="s">
        <v>9</v>
      </c>
      <c r="L383" s="359"/>
      <c r="M383" s="359"/>
      <c r="N383" s="360"/>
      <c r="O383" s="361" t="s">
        <v>10</v>
      </c>
      <c r="P383" s="5"/>
      <c r="Q383" s="6" t="str">
        <f t="shared" si="142"/>
        <v>OKE</v>
      </c>
      <c r="R383" s="6"/>
    </row>
    <row r="384" spans="1:18" ht="14.1" hidden="1" customHeight="1" x14ac:dyDescent="0.2">
      <c r="A384" s="362"/>
      <c r="B384" s="362"/>
      <c r="C384" s="362"/>
      <c r="D384" s="362"/>
      <c r="E384" s="44"/>
      <c r="F384" s="44"/>
      <c r="G384" s="358" t="s">
        <v>74</v>
      </c>
      <c r="H384" s="359"/>
      <c r="I384" s="359"/>
      <c r="J384" s="360"/>
      <c r="K384" s="358" t="s">
        <v>12</v>
      </c>
      <c r="L384" s="359"/>
      <c r="M384" s="359"/>
      <c r="N384" s="360"/>
      <c r="O384" s="362"/>
      <c r="P384" s="5"/>
      <c r="Q384" s="6" t="str">
        <f t="shared" si="142"/>
        <v>OKE</v>
      </c>
      <c r="R384" s="6"/>
    </row>
    <row r="385" spans="1:18" ht="15" hidden="1" thickBot="1" x14ac:dyDescent="0.25">
      <c r="A385" s="378"/>
      <c r="B385" s="378"/>
      <c r="C385" s="378"/>
      <c r="D385" s="378"/>
      <c r="E385" s="196"/>
      <c r="F385" s="196"/>
      <c r="G385" s="144" t="s">
        <v>13</v>
      </c>
      <c r="H385" s="145" t="s">
        <v>14</v>
      </c>
      <c r="I385" s="144" t="s">
        <v>15</v>
      </c>
      <c r="J385" s="144" t="s">
        <v>16</v>
      </c>
      <c r="K385" s="144" t="s">
        <v>13</v>
      </c>
      <c r="L385" s="144" t="s">
        <v>14</v>
      </c>
      <c r="M385" s="144" t="s">
        <v>15</v>
      </c>
      <c r="N385" s="144" t="s">
        <v>16</v>
      </c>
      <c r="O385" s="378"/>
      <c r="P385" s="5"/>
      <c r="Q385" s="6" t="str">
        <f t="shared" si="142"/>
        <v>OKE</v>
      </c>
      <c r="R385" s="6"/>
    </row>
    <row r="386" spans="1:18" ht="15" hidden="1" thickBot="1" x14ac:dyDescent="0.25">
      <c r="A386" s="2">
        <v>1</v>
      </c>
      <c r="B386" s="2">
        <v>2</v>
      </c>
      <c r="C386" s="2">
        <v>3</v>
      </c>
      <c r="D386" s="2">
        <v>4</v>
      </c>
      <c r="E386" s="2"/>
      <c r="F386" s="2"/>
      <c r="G386" s="2">
        <v>5</v>
      </c>
      <c r="H386" s="145">
        <v>6</v>
      </c>
      <c r="I386" s="45" t="s">
        <v>77</v>
      </c>
      <c r="J386" s="45" t="s">
        <v>78</v>
      </c>
      <c r="K386" s="45">
        <v>9</v>
      </c>
      <c r="L386" s="45">
        <v>10</v>
      </c>
      <c r="M386" s="45" t="s">
        <v>79</v>
      </c>
      <c r="N386" s="45" t="s">
        <v>80</v>
      </c>
      <c r="O386" s="45" t="s">
        <v>81</v>
      </c>
      <c r="P386" s="5"/>
      <c r="Q386" s="6" t="str">
        <f t="shared" si="142"/>
        <v>OKE</v>
      </c>
      <c r="R386" s="6"/>
    </row>
    <row r="387" spans="1:18" ht="15" hidden="1" thickBot="1" x14ac:dyDescent="0.25">
      <c r="A387" s="74"/>
      <c r="B387" s="76"/>
      <c r="C387" s="76"/>
      <c r="D387" s="8"/>
      <c r="E387" s="8"/>
      <c r="F387" s="8"/>
      <c r="G387" s="76"/>
      <c r="H387" s="82"/>
      <c r="I387" s="76"/>
      <c r="J387" s="76"/>
      <c r="K387" s="76"/>
      <c r="L387" s="76"/>
      <c r="M387" s="76"/>
      <c r="N387" s="241"/>
      <c r="O387" s="241"/>
      <c r="P387" s="5"/>
      <c r="Q387" s="6" t="str">
        <f t="shared" si="142"/>
        <v>OKE</v>
      </c>
      <c r="R387" s="6"/>
    </row>
    <row r="388" spans="1:18" ht="15" hidden="1" thickBot="1" x14ac:dyDescent="0.25">
      <c r="A388" s="74"/>
      <c r="B388" s="76"/>
      <c r="C388" s="244" t="s">
        <v>97</v>
      </c>
      <c r="D388" s="8"/>
      <c r="E388" s="8"/>
      <c r="F388" s="8"/>
      <c r="G388" s="76"/>
      <c r="H388" s="82"/>
      <c r="I388" s="76"/>
      <c r="J388" s="76"/>
      <c r="K388" s="76"/>
      <c r="L388" s="76"/>
      <c r="M388" s="76"/>
      <c r="N388" s="76"/>
      <c r="O388" s="76"/>
      <c r="P388" s="5"/>
      <c r="Q388" s="6" t="str">
        <f t="shared" si="142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42"/>
        <v>OKE</v>
      </c>
      <c r="R389" s="6"/>
    </row>
    <row r="390" spans="1:18" ht="15" hidden="1" thickBot="1" x14ac:dyDescent="0.25">
      <c r="A390" s="7" t="s">
        <v>22</v>
      </c>
      <c r="B390" s="7" t="s">
        <v>23</v>
      </c>
      <c r="C390" s="9" t="s">
        <v>45</v>
      </c>
      <c r="D390" s="10">
        <f>+D392+D394+D399+D401+D403+D405+D407+D409</f>
        <v>268080000</v>
      </c>
      <c r="E390" s="10"/>
      <c r="F390" s="10"/>
      <c r="G390" s="10">
        <f>+G392+G394+G399+G401+G403+G405+G407+G409</f>
        <v>133763800</v>
      </c>
      <c r="H390" s="11">
        <f>+H392+H394+H399+H401+H403+H405+H407+H409</f>
        <v>8628300</v>
      </c>
      <c r="I390" s="10">
        <f>+G390+H390</f>
        <v>142392100</v>
      </c>
      <c r="J390" s="12">
        <f>+I390/D390</f>
        <v>0.53115525216353332</v>
      </c>
      <c r="K390" s="10">
        <f>+K392+K394+K399+K401+K403+K405+K407+K409</f>
        <v>114241700</v>
      </c>
      <c r="L390" s="10">
        <f>+L392+L394+L399+L401+L403+L405+L407+L409</f>
        <v>26474800</v>
      </c>
      <c r="M390" s="10">
        <f>+K390+L390</f>
        <v>140716500</v>
      </c>
      <c r="N390" s="12">
        <f>+M390/D390</f>
        <v>0.52490487914055506</v>
      </c>
      <c r="O390" s="10">
        <f>+D390-I390</f>
        <v>125687900</v>
      </c>
      <c r="P390" s="5"/>
      <c r="Q390" s="6" t="str">
        <f t="shared" si="142"/>
        <v>OKE</v>
      </c>
      <c r="R390" s="6"/>
    </row>
    <row r="391" spans="1:18" ht="15" hidden="1" thickBot="1" x14ac:dyDescent="0.25">
      <c r="A391" s="74"/>
      <c r="B391" s="74"/>
      <c r="C391" s="76"/>
      <c r="D391" s="53"/>
      <c r="E391" s="53"/>
      <c r="F391" s="53"/>
      <c r="G391" s="268"/>
      <c r="H391" s="269"/>
      <c r="I391" s="268"/>
      <c r="J391" s="268"/>
      <c r="K391" s="268"/>
      <c r="L391" s="76"/>
      <c r="M391" s="76"/>
      <c r="N391" s="76"/>
      <c r="O391" s="76"/>
      <c r="P391" s="5"/>
      <c r="Q391" s="6" t="str">
        <f t="shared" si="142"/>
        <v>OKE</v>
      </c>
      <c r="R391" s="6"/>
    </row>
    <row r="392" spans="1:18" ht="15" hidden="1" thickBot="1" x14ac:dyDescent="0.25">
      <c r="A392" s="74">
        <v>1</v>
      </c>
      <c r="B392" s="75" t="s">
        <v>43</v>
      </c>
      <c r="C392" s="76" t="s">
        <v>98</v>
      </c>
      <c r="D392" s="15">
        <v>15000000</v>
      </c>
      <c r="E392" s="15"/>
      <c r="F392" s="15"/>
      <c r="G392" s="80">
        <v>11390500</v>
      </c>
      <c r="H392" s="79">
        <v>1097000</v>
      </c>
      <c r="I392" s="15">
        <f>+G392+H392</f>
        <v>12487500</v>
      </c>
      <c r="J392" s="16">
        <f>+I392/D392</f>
        <v>0.83250000000000002</v>
      </c>
      <c r="K392" s="80">
        <v>8898000</v>
      </c>
      <c r="L392" s="80">
        <v>1952000</v>
      </c>
      <c r="M392" s="80">
        <f>+K392+L392</f>
        <v>10850000</v>
      </c>
      <c r="N392" s="16">
        <f>+M392/D392</f>
        <v>0.72333333333333338</v>
      </c>
      <c r="O392" s="80">
        <f>+D392-I392</f>
        <v>2512500</v>
      </c>
      <c r="P392" s="5"/>
      <c r="Q392" s="6" t="str">
        <f t="shared" si="142"/>
        <v>OKE</v>
      </c>
      <c r="R392" s="6"/>
    </row>
    <row r="393" spans="1:18" ht="15" hidden="1" thickBot="1" x14ac:dyDescent="0.25">
      <c r="A393" s="74"/>
      <c r="B393" s="74"/>
      <c r="C393" s="76"/>
      <c r="D393" s="15"/>
      <c r="E393" s="15"/>
      <c r="F393" s="15"/>
      <c r="G393" s="80"/>
      <c r="H393" s="79"/>
      <c r="I393" s="80"/>
      <c r="J393" s="80"/>
      <c r="K393" s="80"/>
      <c r="L393" s="76"/>
      <c r="M393" s="76"/>
      <c r="N393" s="76"/>
      <c r="O393" s="76"/>
      <c r="P393" s="5"/>
      <c r="Q393" s="6" t="str">
        <f t="shared" si="142"/>
        <v>OKE</v>
      </c>
      <c r="R393" s="6"/>
    </row>
    <row r="394" spans="1:18" ht="15" hidden="1" thickBot="1" x14ac:dyDescent="0.25">
      <c r="A394" s="74">
        <v>2</v>
      </c>
      <c r="B394" s="75" t="s">
        <v>39</v>
      </c>
      <c r="C394" s="76" t="s">
        <v>50</v>
      </c>
      <c r="D394" s="15">
        <v>5000000</v>
      </c>
      <c r="E394" s="15"/>
      <c r="F394" s="15"/>
      <c r="G394" s="80">
        <v>4980000</v>
      </c>
      <c r="H394" s="79">
        <v>0</v>
      </c>
      <c r="I394" s="15">
        <f>+G394+H394</f>
        <v>4980000</v>
      </c>
      <c r="J394" s="16">
        <f>+I394/D394</f>
        <v>0.996</v>
      </c>
      <c r="K394" s="80">
        <v>3320000</v>
      </c>
      <c r="L394" s="80">
        <v>1660000</v>
      </c>
      <c r="M394" s="80">
        <f>+K394+L394</f>
        <v>4980000</v>
      </c>
      <c r="N394" s="16">
        <f>+M394/D394</f>
        <v>0.996</v>
      </c>
      <c r="O394" s="80">
        <f>+D394-I394</f>
        <v>20000</v>
      </c>
      <c r="P394" s="5"/>
      <c r="Q394" s="6" t="str">
        <f t="shared" si="142"/>
        <v>OKE</v>
      </c>
      <c r="R394" s="6"/>
    </row>
    <row r="395" spans="1:18" ht="15" hidden="1" thickBot="1" x14ac:dyDescent="0.25">
      <c r="A395" s="74"/>
      <c r="B395" s="75"/>
      <c r="C395" s="76"/>
      <c r="D395" s="15"/>
      <c r="E395" s="15"/>
      <c r="F395" s="15"/>
      <c r="G395" s="80"/>
      <c r="H395" s="79"/>
      <c r="I395" s="15"/>
      <c r="J395" s="16"/>
      <c r="K395" s="80"/>
      <c r="L395" s="80"/>
      <c r="M395" s="80"/>
      <c r="N395" s="16"/>
      <c r="O395" s="80"/>
      <c r="P395" s="5"/>
      <c r="Q395" s="6" t="str">
        <f t="shared" si="142"/>
        <v>OKE</v>
      </c>
      <c r="R395" s="6"/>
    </row>
    <row r="396" spans="1:18" ht="15" hidden="1" thickBot="1" x14ac:dyDescent="0.25">
      <c r="A396" s="74"/>
      <c r="B396" s="18" t="s">
        <v>24</v>
      </c>
      <c r="C396" s="19" t="s">
        <v>25</v>
      </c>
      <c r="D396" s="20">
        <v>77530000</v>
      </c>
      <c r="E396" s="20"/>
      <c r="F396" s="20"/>
      <c r="G396" s="20">
        <v>37840000</v>
      </c>
      <c r="H396" s="21">
        <v>3330000</v>
      </c>
      <c r="I396" s="20">
        <f>+G396+H396</f>
        <v>41170000</v>
      </c>
      <c r="J396" s="22">
        <f>+I396/D396</f>
        <v>0.53102025022571908</v>
      </c>
      <c r="K396" s="20">
        <v>34735000</v>
      </c>
      <c r="L396" s="20">
        <v>2880000</v>
      </c>
      <c r="M396" s="20">
        <f>+K396+L396</f>
        <v>37615000</v>
      </c>
      <c r="N396" s="22">
        <f>+M396/D396</f>
        <v>0.48516703211660001</v>
      </c>
      <c r="O396" s="20">
        <f>+D396-I396</f>
        <v>36360000</v>
      </c>
      <c r="P396" s="5"/>
      <c r="Q396" s="6" t="str">
        <f t="shared" si="142"/>
        <v>OKE</v>
      </c>
      <c r="R396" s="6"/>
    </row>
    <row r="397" spans="1:18" ht="15" hidden="1" thickBot="1" x14ac:dyDescent="0.25">
      <c r="A397" s="74"/>
      <c r="B397" s="18" t="s">
        <v>24</v>
      </c>
      <c r="C397" s="19" t="s">
        <v>28</v>
      </c>
      <c r="D397" s="20">
        <v>-34450000</v>
      </c>
      <c r="E397" s="20"/>
      <c r="F397" s="20"/>
      <c r="G397" s="20"/>
      <c r="H397" s="21">
        <v>-9800000</v>
      </c>
      <c r="I397" s="20"/>
      <c r="J397" s="22"/>
      <c r="K397" s="20"/>
      <c r="L397" s="20">
        <v>-9800000</v>
      </c>
      <c r="M397" s="20"/>
      <c r="N397" s="22"/>
      <c r="O397" s="20"/>
      <c r="P397" s="5"/>
      <c r="Q397" s="6" t="str">
        <f t="shared" si="142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15"/>
      <c r="J398" s="16"/>
      <c r="K398" s="80"/>
      <c r="L398" s="76"/>
      <c r="M398" s="80"/>
      <c r="N398" s="16"/>
      <c r="O398" s="80"/>
      <c r="P398" s="5"/>
      <c r="Q398" s="6" t="str">
        <f t="shared" si="142"/>
        <v>OKE</v>
      </c>
      <c r="R398" s="6"/>
    </row>
    <row r="399" spans="1:18" ht="15" hidden="1" thickBot="1" x14ac:dyDescent="0.25">
      <c r="A399" s="74">
        <v>4</v>
      </c>
      <c r="B399" s="75" t="s">
        <v>24</v>
      </c>
      <c r="C399" s="76" t="s">
        <v>25</v>
      </c>
      <c r="D399" s="15">
        <v>43080000</v>
      </c>
      <c r="E399" s="15"/>
      <c r="F399" s="15"/>
      <c r="G399" s="80">
        <v>38030000</v>
      </c>
      <c r="H399" s="79">
        <v>0</v>
      </c>
      <c r="I399" s="15">
        <f>+G399+H399</f>
        <v>38030000</v>
      </c>
      <c r="J399" s="16">
        <f>+I399/D399</f>
        <v>0.88277623026926644</v>
      </c>
      <c r="K399" s="80">
        <v>31370000</v>
      </c>
      <c r="L399" s="80">
        <v>6660000</v>
      </c>
      <c r="M399" s="80">
        <f>+K399+L399</f>
        <v>38030000</v>
      </c>
      <c r="N399" s="16">
        <f>+M399/D399</f>
        <v>0.88277623026926644</v>
      </c>
      <c r="O399" s="80">
        <f>+D399-I399</f>
        <v>5050000</v>
      </c>
      <c r="P399" s="5"/>
      <c r="Q399" s="6" t="str">
        <f t="shared" si="142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42"/>
        <v>OKE</v>
      </c>
      <c r="R400" s="6"/>
    </row>
    <row r="401" spans="1:18" ht="15" hidden="1" thickBot="1" x14ac:dyDescent="0.25">
      <c r="A401" s="74">
        <v>5</v>
      </c>
      <c r="B401" s="75" t="s">
        <v>46</v>
      </c>
      <c r="C401" s="76" t="s">
        <v>47</v>
      </c>
      <c r="D401" s="15">
        <v>30000000</v>
      </c>
      <c r="E401" s="15"/>
      <c r="F401" s="15"/>
      <c r="G401" s="80">
        <v>15789600</v>
      </c>
      <c r="H401" s="79">
        <v>1434200</v>
      </c>
      <c r="I401" s="15">
        <f>+G401+H401</f>
        <v>17223800</v>
      </c>
      <c r="J401" s="16">
        <f>+I401/D401</f>
        <v>0.57412666666666667</v>
      </c>
      <c r="K401" s="80">
        <v>14316300</v>
      </c>
      <c r="L401" s="80">
        <v>2869400</v>
      </c>
      <c r="M401" s="80">
        <f>+K401+L401</f>
        <v>17185700</v>
      </c>
      <c r="N401" s="16">
        <f>+M401/D401</f>
        <v>0.57285666666666668</v>
      </c>
      <c r="O401" s="80">
        <f>+D401-I401</f>
        <v>12776200</v>
      </c>
      <c r="P401" s="5"/>
      <c r="Q401" s="6" t="str">
        <f t="shared" si="142"/>
        <v>OKE</v>
      </c>
      <c r="R401" s="6"/>
    </row>
    <row r="402" spans="1:18" ht="15" hidden="1" thickBot="1" x14ac:dyDescent="0.25">
      <c r="A402" s="74"/>
      <c r="B402" s="74"/>
      <c r="C402" s="76"/>
      <c r="D402" s="15"/>
      <c r="E402" s="15"/>
      <c r="F402" s="15"/>
      <c r="G402" s="80"/>
      <c r="H402" s="79"/>
      <c r="I402" s="80"/>
      <c r="J402" s="80"/>
      <c r="K402" s="80"/>
      <c r="L402" s="76"/>
      <c r="M402" s="76"/>
      <c r="N402" s="76"/>
      <c r="O402" s="76"/>
      <c r="P402" s="5"/>
      <c r="Q402" s="6" t="str">
        <f t="shared" si="142"/>
        <v>OKE</v>
      </c>
      <c r="R402" s="6"/>
    </row>
    <row r="403" spans="1:18" ht="15" hidden="1" thickBot="1" x14ac:dyDescent="0.25">
      <c r="A403" s="74">
        <v>6</v>
      </c>
      <c r="B403" s="75" t="s">
        <v>26</v>
      </c>
      <c r="C403" s="76" t="s">
        <v>27</v>
      </c>
      <c r="D403" s="15">
        <v>98400000</v>
      </c>
      <c r="E403" s="15"/>
      <c r="F403" s="15"/>
      <c r="G403" s="80">
        <v>27741800</v>
      </c>
      <c r="H403" s="79">
        <v>1373600</v>
      </c>
      <c r="I403" s="15">
        <f>+G403+H403</f>
        <v>29115400</v>
      </c>
      <c r="J403" s="16">
        <f>+I403/D403</f>
        <v>0.2958882113821138</v>
      </c>
      <c r="K403" s="80">
        <v>26392700</v>
      </c>
      <c r="L403" s="80">
        <v>2722700</v>
      </c>
      <c r="M403" s="80">
        <f>+K403+L403</f>
        <v>29115400</v>
      </c>
      <c r="N403" s="16">
        <f>+M403/D403</f>
        <v>0.2958882113821138</v>
      </c>
      <c r="O403" s="80">
        <f>+D403-I403</f>
        <v>69284600</v>
      </c>
      <c r="P403" s="5"/>
      <c r="Q403" s="6" t="str">
        <f t="shared" si="142"/>
        <v>OKE</v>
      </c>
      <c r="R403" s="6"/>
    </row>
    <row r="404" spans="1:18" ht="15" hidden="1" thickBot="1" x14ac:dyDescent="0.25">
      <c r="A404" s="74"/>
      <c r="B404" s="75"/>
      <c r="C404" s="76"/>
      <c r="D404" s="15"/>
      <c r="E404" s="15"/>
      <c r="F404" s="15"/>
      <c r="G404" s="80"/>
      <c r="H404" s="79"/>
      <c r="I404" s="10"/>
      <c r="J404" s="16"/>
      <c r="K404" s="80"/>
      <c r="L404" s="93"/>
      <c r="M404" s="80"/>
      <c r="N404" s="16"/>
      <c r="O404" s="80"/>
      <c r="P404" s="5"/>
      <c r="Q404" s="6" t="str">
        <f t="shared" si="142"/>
        <v>OKE</v>
      </c>
      <c r="R404" s="6"/>
    </row>
    <row r="405" spans="1:18" ht="15" hidden="1" thickBot="1" x14ac:dyDescent="0.25">
      <c r="A405" s="74">
        <v>7</v>
      </c>
      <c r="B405" s="75" t="s">
        <v>44</v>
      </c>
      <c r="C405" s="76" t="s">
        <v>57</v>
      </c>
      <c r="D405" s="15">
        <v>5000000</v>
      </c>
      <c r="E405" s="15"/>
      <c r="F405" s="15"/>
      <c r="G405" s="80">
        <v>4999000</v>
      </c>
      <c r="H405" s="79">
        <v>0</v>
      </c>
      <c r="I405" s="15">
        <f>+G405+H405</f>
        <v>4999000</v>
      </c>
      <c r="J405" s="16">
        <v>0.999</v>
      </c>
      <c r="K405" s="80">
        <v>3953500</v>
      </c>
      <c r="L405" s="80">
        <v>1045500</v>
      </c>
      <c r="M405" s="80">
        <f>+K405+L405</f>
        <v>4999000</v>
      </c>
      <c r="N405" s="16">
        <f>+M405/D405</f>
        <v>0.99980000000000002</v>
      </c>
      <c r="O405" s="80">
        <f>+D405-I405</f>
        <v>1000</v>
      </c>
      <c r="P405" s="5"/>
      <c r="Q405" s="6" t="str">
        <f t="shared" si="142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42"/>
        <v>OKE</v>
      </c>
      <c r="R406" s="6"/>
    </row>
    <row r="407" spans="1:18" ht="15" hidden="1" thickBot="1" x14ac:dyDescent="0.25">
      <c r="A407" s="74">
        <v>8</v>
      </c>
      <c r="B407" s="75" t="s">
        <v>29</v>
      </c>
      <c r="C407" s="76" t="s">
        <v>30</v>
      </c>
      <c r="D407" s="15">
        <v>51600000</v>
      </c>
      <c r="E407" s="15"/>
      <c r="F407" s="15"/>
      <c r="G407" s="80">
        <v>13832900</v>
      </c>
      <c r="H407" s="79">
        <v>1723500</v>
      </c>
      <c r="I407" s="15">
        <f>+G407+H407</f>
        <v>15556400</v>
      </c>
      <c r="J407" s="16">
        <f>+I407/D407</f>
        <v>0.30148062015503874</v>
      </c>
      <c r="K407" s="80">
        <v>12211200</v>
      </c>
      <c r="L407" s="80">
        <v>3345200</v>
      </c>
      <c r="M407" s="80">
        <f>+K407+L407</f>
        <v>15556400</v>
      </c>
      <c r="N407" s="16">
        <f>+M407/D407</f>
        <v>0.30148062015503874</v>
      </c>
      <c r="O407" s="80">
        <f>+D407-I407</f>
        <v>36043600</v>
      </c>
      <c r="P407" s="5"/>
      <c r="Q407" s="6" t="str">
        <f t="shared" si="142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42"/>
        <v>OKE</v>
      </c>
      <c r="R408" s="6"/>
    </row>
    <row r="409" spans="1:18" ht="15" hidden="1" thickBot="1" x14ac:dyDescent="0.25">
      <c r="A409" s="74">
        <v>9</v>
      </c>
      <c r="B409" s="75" t="s">
        <v>62</v>
      </c>
      <c r="C409" s="76" t="s">
        <v>68</v>
      </c>
      <c r="D409" s="15">
        <v>20000000</v>
      </c>
      <c r="E409" s="15"/>
      <c r="F409" s="15"/>
      <c r="G409" s="80">
        <v>17000000</v>
      </c>
      <c r="H409" s="79">
        <v>3000000</v>
      </c>
      <c r="I409" s="15">
        <f>+G409+H409</f>
        <v>20000000</v>
      </c>
      <c r="J409" s="16">
        <f>+I409/D409</f>
        <v>1</v>
      </c>
      <c r="K409" s="80">
        <v>13780000</v>
      </c>
      <c r="L409" s="80">
        <v>6220000</v>
      </c>
      <c r="M409" s="80">
        <f>+K409+L409</f>
        <v>20000000</v>
      </c>
      <c r="N409" s="16">
        <f>+M409/D409</f>
        <v>1</v>
      </c>
      <c r="O409" s="80">
        <f>+D409-I409</f>
        <v>0</v>
      </c>
      <c r="P409" s="5"/>
      <c r="Q409" s="6" t="str">
        <f t="shared" si="142"/>
        <v>OKE</v>
      </c>
      <c r="R409" s="6"/>
    </row>
    <row r="410" spans="1:18" ht="15" hidden="1" thickBot="1" x14ac:dyDescent="0.25">
      <c r="A410" s="74"/>
      <c r="B410" s="74"/>
      <c r="C410" s="76"/>
      <c r="D410" s="15"/>
      <c r="E410" s="15"/>
      <c r="F410" s="15"/>
      <c r="G410" s="80"/>
      <c r="H410" s="79"/>
      <c r="I410" s="80"/>
      <c r="J410" s="80"/>
      <c r="K410" s="80"/>
      <c r="L410" s="76"/>
      <c r="M410" s="76"/>
      <c r="N410" s="76"/>
      <c r="O410" s="76"/>
      <c r="P410" s="5"/>
      <c r="Q410" s="6" t="str">
        <f t="shared" si="142"/>
        <v>OKE</v>
      </c>
      <c r="R410" s="6"/>
    </row>
    <row r="411" spans="1:18" ht="15" hidden="1" thickBot="1" x14ac:dyDescent="0.25">
      <c r="A411" s="74"/>
      <c r="B411" s="74"/>
      <c r="C411" s="9" t="s">
        <v>48</v>
      </c>
      <c r="D411" s="10">
        <f>+D409+D407+D405+D403+D401+D399+D394+D392</f>
        <v>268080000</v>
      </c>
      <c r="E411" s="10"/>
      <c r="F411" s="10"/>
      <c r="G411" s="10">
        <f>+G409+G407+G405+G403+G401+G399+G394+G392</f>
        <v>133763800</v>
      </c>
      <c r="H411" s="11">
        <f>+H409+H407+H405+H403+H401+H399+H394+H392</f>
        <v>8628300</v>
      </c>
      <c r="I411" s="10">
        <f>+G411+H411</f>
        <v>142392100</v>
      </c>
      <c r="J411" s="12">
        <f>+I411/D411</f>
        <v>0.53115525216353332</v>
      </c>
      <c r="K411" s="10">
        <f>+K409+K407+K405+K403+K401+K399+K394+K392</f>
        <v>114241700</v>
      </c>
      <c r="L411" s="10">
        <f>+L409+L407+L405+L403+L401+L399+L394+L392</f>
        <v>26474800</v>
      </c>
      <c r="M411" s="10">
        <f>+K411+L411</f>
        <v>140716500</v>
      </c>
      <c r="N411" s="12">
        <f>+M411/D411</f>
        <v>0.52490487914055506</v>
      </c>
      <c r="O411" s="10">
        <f>+D411-I411</f>
        <v>125687900</v>
      </c>
      <c r="P411" s="5"/>
      <c r="Q411" s="6" t="str">
        <f t="shared" si="142"/>
        <v>OKE</v>
      </c>
      <c r="R411" s="6"/>
    </row>
    <row r="412" spans="1:18" ht="15" hidden="1" thickBot="1" x14ac:dyDescent="0.25">
      <c r="A412" s="85"/>
      <c r="B412" s="85"/>
      <c r="C412" s="34" t="s">
        <v>31</v>
      </c>
      <c r="D412" s="35"/>
      <c r="E412" s="35"/>
      <c r="F412" s="35"/>
      <c r="G412" s="259"/>
      <c r="H412" s="260"/>
      <c r="I412" s="259"/>
      <c r="J412" s="259"/>
      <c r="K412" s="259"/>
      <c r="L412" s="261"/>
      <c r="M412" s="261"/>
      <c r="N412" s="261"/>
      <c r="O412" s="261"/>
      <c r="P412" s="5"/>
      <c r="Q412" s="6" t="str">
        <f t="shared" si="142"/>
        <v>OKE</v>
      </c>
      <c r="R412" s="6"/>
    </row>
    <row r="413" spans="1:18" ht="15" hidden="1" thickBot="1" x14ac:dyDescent="0.25">
      <c r="A413" s="74"/>
      <c r="B413" s="74"/>
      <c r="C413" s="76"/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42"/>
        <v>OKE</v>
      </c>
      <c r="R413" s="6"/>
    </row>
    <row r="414" spans="1:18" ht="15" hidden="1" thickBot="1" x14ac:dyDescent="0.25">
      <c r="A414" s="7" t="s">
        <v>32</v>
      </c>
      <c r="B414" s="7" t="s">
        <v>33</v>
      </c>
      <c r="C414" s="9" t="s">
        <v>64</v>
      </c>
      <c r="D414" s="10">
        <f>+D417</f>
        <v>10000000</v>
      </c>
      <c r="E414" s="10"/>
      <c r="F414" s="10"/>
      <c r="G414" s="10">
        <f>+G417</f>
        <v>8500000</v>
      </c>
      <c r="H414" s="11">
        <f>+H417</f>
        <v>0</v>
      </c>
      <c r="I414" s="10">
        <f>+G414+H414</f>
        <v>8500000</v>
      </c>
      <c r="J414" s="12">
        <f>+I414/D414</f>
        <v>0.85</v>
      </c>
      <c r="K414" s="10">
        <f>+K417</f>
        <v>6435000</v>
      </c>
      <c r="L414" s="10">
        <f>+L417</f>
        <v>2420000</v>
      </c>
      <c r="M414" s="10">
        <f>+K414+L414</f>
        <v>8855000</v>
      </c>
      <c r="N414" s="12">
        <f>+M414/D414</f>
        <v>0.88549999999999995</v>
      </c>
      <c r="O414" s="10">
        <f>+D414-I414</f>
        <v>1500000</v>
      </c>
      <c r="P414" s="5"/>
      <c r="Q414" s="6" t="str">
        <f t="shared" si="142"/>
        <v>Salah</v>
      </c>
      <c r="R414" s="6"/>
    </row>
    <row r="415" spans="1:18" ht="15" hidden="1" thickBot="1" x14ac:dyDescent="0.25">
      <c r="A415" s="74"/>
      <c r="B415" s="74"/>
      <c r="C415" s="9" t="s">
        <v>49</v>
      </c>
      <c r="D415" s="15"/>
      <c r="E415" s="15"/>
      <c r="F415" s="15"/>
      <c r="G415" s="80"/>
      <c r="H415" s="79"/>
      <c r="I415" s="80"/>
      <c r="J415" s="80"/>
      <c r="K415" s="80"/>
      <c r="L415" s="76"/>
      <c r="M415" s="76"/>
      <c r="N415" s="76"/>
      <c r="O415" s="76"/>
      <c r="P415" s="5"/>
      <c r="Q415" s="6" t="str">
        <f t="shared" si="142"/>
        <v>OKE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42"/>
        <v>OKE</v>
      </c>
      <c r="R416" s="6"/>
    </row>
    <row r="417" spans="1:18" ht="15" hidden="1" thickBot="1" x14ac:dyDescent="0.25">
      <c r="A417" s="74">
        <v>10</v>
      </c>
      <c r="B417" s="75" t="s">
        <v>61</v>
      </c>
      <c r="C417" s="8" t="s">
        <v>99</v>
      </c>
      <c r="D417" s="15">
        <v>10000000</v>
      </c>
      <c r="E417" s="15"/>
      <c r="F417" s="15"/>
      <c r="G417" s="80">
        <v>8500000</v>
      </c>
      <c r="H417" s="79">
        <v>0</v>
      </c>
      <c r="I417" s="15">
        <f>+G417+H417</f>
        <v>8500000</v>
      </c>
      <c r="J417" s="16">
        <f>+I417/D417</f>
        <v>0.85</v>
      </c>
      <c r="K417" s="80">
        <v>6435000</v>
      </c>
      <c r="L417" s="80">
        <v>2420000</v>
      </c>
      <c r="M417" s="80">
        <f>+K417+L417</f>
        <v>8855000</v>
      </c>
      <c r="N417" s="16">
        <f>+M417/D417</f>
        <v>0.88549999999999995</v>
      </c>
      <c r="O417" s="80">
        <f>+D417-I417</f>
        <v>1500000</v>
      </c>
      <c r="P417" s="5"/>
      <c r="Q417" s="6" t="str">
        <f t="shared" si="142"/>
        <v>Salah</v>
      </c>
      <c r="R417" s="6"/>
    </row>
    <row r="418" spans="1:18" ht="15" hidden="1" thickBot="1" x14ac:dyDescent="0.25">
      <c r="A418" s="74"/>
      <c r="B418" s="74"/>
      <c r="C418" s="76"/>
      <c r="D418" s="15"/>
      <c r="E418" s="15"/>
      <c r="F418" s="15"/>
      <c r="G418" s="80"/>
      <c r="H418" s="79"/>
      <c r="I418" s="80"/>
      <c r="J418" s="80"/>
      <c r="K418" s="80"/>
      <c r="L418" s="76"/>
      <c r="M418" s="76"/>
      <c r="N418" s="76"/>
      <c r="O418" s="76"/>
      <c r="P418" s="5"/>
      <c r="Q418" s="6" t="str">
        <f t="shared" si="142"/>
        <v>OKE</v>
      </c>
      <c r="R418" s="6"/>
    </row>
    <row r="419" spans="1:18" ht="15" hidden="1" thickBot="1" x14ac:dyDescent="0.25">
      <c r="A419" s="74"/>
      <c r="B419" s="74"/>
      <c r="C419" s="9" t="s">
        <v>65</v>
      </c>
      <c r="D419" s="10">
        <f>+D417</f>
        <v>10000000</v>
      </c>
      <c r="E419" s="10"/>
      <c r="F419" s="10"/>
      <c r="G419" s="10">
        <f>+G417</f>
        <v>8500000</v>
      </c>
      <c r="H419" s="11">
        <f>+H417</f>
        <v>0</v>
      </c>
      <c r="I419" s="10">
        <f>+G419+H419</f>
        <v>8500000</v>
      </c>
      <c r="J419" s="12">
        <f>+I419/D419</f>
        <v>0.85</v>
      </c>
      <c r="K419" s="10">
        <f>+K417</f>
        <v>6435000</v>
      </c>
      <c r="L419" s="10">
        <f>+L417</f>
        <v>2420000</v>
      </c>
      <c r="M419" s="10">
        <f>+K419+L419</f>
        <v>8855000</v>
      </c>
      <c r="N419" s="12">
        <f>+M419/D419</f>
        <v>0.88549999999999995</v>
      </c>
      <c r="O419" s="10">
        <f>+D419-I419</f>
        <v>1500000</v>
      </c>
      <c r="P419" s="5"/>
      <c r="Q419" s="6" t="str">
        <f t="shared" si="142"/>
        <v>Salah</v>
      </c>
      <c r="R419" s="6"/>
    </row>
    <row r="420" spans="1:18" ht="15" hidden="1" thickBot="1" x14ac:dyDescent="0.25">
      <c r="A420" s="81"/>
      <c r="B420" s="81"/>
      <c r="C420" s="23" t="s">
        <v>66</v>
      </c>
      <c r="D420" s="32"/>
      <c r="E420" s="32"/>
      <c r="F420" s="32"/>
      <c r="G420" s="252"/>
      <c r="H420" s="253"/>
      <c r="I420" s="252"/>
      <c r="J420" s="252"/>
      <c r="K420" s="252"/>
      <c r="L420" s="251"/>
      <c r="M420" s="251"/>
      <c r="N420" s="251"/>
      <c r="O420" s="251"/>
      <c r="P420" s="5"/>
      <c r="Q420" s="6" t="str">
        <f t="shared" si="142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42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2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2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2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2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2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2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2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2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2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2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2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2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2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2"/>
        <v>OKE</v>
      </c>
      <c r="R435" s="6"/>
    </row>
    <row r="436" spans="1:18" ht="15" hidden="1" thickBot="1" x14ac:dyDescent="0.25">
      <c r="B436" s="88"/>
      <c r="C436" s="26"/>
      <c r="D436" s="31"/>
      <c r="E436" s="31"/>
      <c r="F436" s="31"/>
      <c r="G436" s="179"/>
      <c r="H436" s="258"/>
      <c r="I436" s="179"/>
      <c r="J436" s="179"/>
      <c r="K436" s="179"/>
      <c r="L436" s="77"/>
      <c r="M436" s="77"/>
      <c r="N436" s="77"/>
      <c r="O436" s="77"/>
      <c r="P436" s="5"/>
      <c r="Q436" s="6" t="str">
        <f t="shared" si="142"/>
        <v>OKE</v>
      </c>
      <c r="R436" s="6"/>
    </row>
    <row r="437" spans="1:18" ht="14.1" hidden="1" customHeight="1" x14ac:dyDescent="0.2">
      <c r="A437" s="361" t="s">
        <v>2</v>
      </c>
      <c r="B437" s="361" t="s">
        <v>3</v>
      </c>
      <c r="C437" s="361" t="s">
        <v>4</v>
      </c>
      <c r="D437" s="361" t="s">
        <v>5</v>
      </c>
      <c r="E437" s="197"/>
      <c r="F437" s="197"/>
      <c r="G437" s="358" t="s">
        <v>11</v>
      </c>
      <c r="H437" s="359"/>
      <c r="I437" s="359"/>
      <c r="J437" s="360"/>
      <c r="K437" s="358" t="s">
        <v>9</v>
      </c>
      <c r="L437" s="359"/>
      <c r="M437" s="359"/>
      <c r="N437" s="360"/>
      <c r="O437" s="361" t="s">
        <v>10</v>
      </c>
      <c r="P437" s="5"/>
      <c r="Q437" s="6" t="str">
        <f t="shared" si="142"/>
        <v>OKE</v>
      </c>
      <c r="R437" s="6"/>
    </row>
    <row r="438" spans="1:18" ht="14.1" hidden="1" customHeight="1" x14ac:dyDescent="0.2">
      <c r="A438" s="362"/>
      <c r="B438" s="362"/>
      <c r="C438" s="362"/>
      <c r="D438" s="362"/>
      <c r="E438" s="44"/>
      <c r="F438" s="44"/>
      <c r="G438" s="358" t="s">
        <v>74</v>
      </c>
      <c r="H438" s="359"/>
      <c r="I438" s="359"/>
      <c r="J438" s="360"/>
      <c r="K438" s="358" t="s">
        <v>12</v>
      </c>
      <c r="L438" s="359"/>
      <c r="M438" s="359"/>
      <c r="N438" s="360"/>
      <c r="O438" s="362"/>
      <c r="P438" s="5"/>
      <c r="Q438" s="6" t="str">
        <f t="shared" ref="Q438:Q462" si="143">IF(M438&lt;=I438,"OKE","Salah")</f>
        <v>OKE</v>
      </c>
      <c r="R438" s="6"/>
    </row>
    <row r="439" spans="1:18" ht="14.1" hidden="1" customHeight="1" x14ac:dyDescent="0.2">
      <c r="A439" s="378"/>
      <c r="B439" s="378"/>
      <c r="C439" s="378"/>
      <c r="D439" s="378"/>
      <c r="E439" s="196"/>
      <c r="F439" s="196"/>
      <c r="G439" s="144" t="s">
        <v>13</v>
      </c>
      <c r="H439" s="145" t="s">
        <v>14</v>
      </c>
      <c r="I439" s="144" t="s">
        <v>15</v>
      </c>
      <c r="J439" s="144" t="s">
        <v>16</v>
      </c>
      <c r="K439" s="144" t="s">
        <v>13</v>
      </c>
      <c r="L439" s="144" t="s">
        <v>14</v>
      </c>
      <c r="M439" s="144" t="s">
        <v>15</v>
      </c>
      <c r="N439" s="144" t="s">
        <v>16</v>
      </c>
      <c r="O439" s="378"/>
      <c r="P439" s="5"/>
      <c r="Q439" s="6" t="str">
        <f t="shared" si="143"/>
        <v>OKE</v>
      </c>
      <c r="R439" s="6"/>
    </row>
    <row r="440" spans="1:18" ht="15" hidden="1" thickBot="1" x14ac:dyDescent="0.25">
      <c r="A440" s="2">
        <v>1</v>
      </c>
      <c r="B440" s="2">
        <v>2</v>
      </c>
      <c r="C440" s="2">
        <v>3</v>
      </c>
      <c r="D440" s="2">
        <v>4</v>
      </c>
      <c r="E440" s="2"/>
      <c r="F440" s="2"/>
      <c r="G440" s="2">
        <v>5</v>
      </c>
      <c r="H440" s="145">
        <v>6</v>
      </c>
      <c r="I440" s="45" t="s">
        <v>77</v>
      </c>
      <c r="J440" s="45" t="s">
        <v>78</v>
      </c>
      <c r="K440" s="45">
        <v>9</v>
      </c>
      <c r="L440" s="45">
        <v>10</v>
      </c>
      <c r="M440" s="45" t="s">
        <v>79</v>
      </c>
      <c r="N440" s="45" t="s">
        <v>80</v>
      </c>
      <c r="O440" s="45" t="s">
        <v>81</v>
      </c>
      <c r="P440" s="5"/>
      <c r="Q440" s="6" t="str">
        <f t="shared" si="143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241"/>
      <c r="O441" s="241"/>
      <c r="P441" s="5"/>
      <c r="Q441" s="6" t="str">
        <f t="shared" si="143"/>
        <v>OKE</v>
      </c>
      <c r="R441" s="6"/>
    </row>
    <row r="442" spans="1:18" ht="15" hidden="1" thickBot="1" x14ac:dyDescent="0.25">
      <c r="A442" s="74"/>
      <c r="B442" s="76"/>
      <c r="C442" s="244" t="s">
        <v>97</v>
      </c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76"/>
      <c r="O442" s="76"/>
      <c r="P442" s="5"/>
      <c r="Q442" s="6" t="str">
        <f t="shared" si="143"/>
        <v>OKE</v>
      </c>
      <c r="R442" s="6"/>
    </row>
    <row r="443" spans="1:18" ht="15" hidden="1" thickBot="1" x14ac:dyDescent="0.25">
      <c r="A443" s="74"/>
      <c r="B443" s="76"/>
      <c r="C443" s="76"/>
      <c r="D443" s="8"/>
      <c r="E443" s="8"/>
      <c r="F443" s="8"/>
      <c r="G443" s="76"/>
      <c r="H443" s="82"/>
      <c r="I443" s="76"/>
      <c r="J443" s="76"/>
      <c r="K443" s="76"/>
      <c r="L443" s="76"/>
      <c r="M443" s="76"/>
      <c r="N443" s="76"/>
      <c r="O443" s="76"/>
      <c r="P443" s="5"/>
      <c r="Q443" s="6" t="str">
        <f t="shared" si="143"/>
        <v>OKE</v>
      </c>
      <c r="R443" s="6"/>
    </row>
    <row r="444" spans="1:18" ht="15" hidden="1" thickBot="1" x14ac:dyDescent="0.25">
      <c r="A444" s="7" t="s">
        <v>36</v>
      </c>
      <c r="B444" s="7" t="s">
        <v>51</v>
      </c>
      <c r="C444" s="9" t="s">
        <v>100</v>
      </c>
      <c r="D444" s="10">
        <f>+D446+D448</f>
        <v>65000000</v>
      </c>
      <c r="E444" s="10"/>
      <c r="F444" s="10"/>
      <c r="G444" s="10">
        <f>+G446+G448</f>
        <v>63849900</v>
      </c>
      <c r="H444" s="11">
        <f>+H446+H448</f>
        <v>0</v>
      </c>
      <c r="I444" s="10">
        <f>+G444+H444</f>
        <v>63849900</v>
      </c>
      <c r="J444" s="12">
        <f>+I444/D444</f>
        <v>0.98230615384615383</v>
      </c>
      <c r="K444" s="10">
        <f>+K446+K448</f>
        <v>60979900</v>
      </c>
      <c r="L444" s="10">
        <f>+L446+L448</f>
        <v>2675000</v>
      </c>
      <c r="M444" s="10">
        <f>+K444+L444</f>
        <v>63654900</v>
      </c>
      <c r="N444" s="12">
        <f>+M444/D444</f>
        <v>0.97930615384615383</v>
      </c>
      <c r="O444" s="10">
        <f>+D444-I444</f>
        <v>1150100</v>
      </c>
      <c r="P444" s="5"/>
      <c r="Q444" s="6" t="str">
        <f t="shared" si="143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43"/>
        <v>OKE</v>
      </c>
      <c r="R445" s="6"/>
    </row>
    <row r="446" spans="1:18" ht="15" hidden="1" thickBot="1" x14ac:dyDescent="0.25">
      <c r="A446" s="7"/>
      <c r="B446" s="75" t="s">
        <v>37</v>
      </c>
      <c r="C446" s="8" t="s">
        <v>101</v>
      </c>
      <c r="D446" s="15">
        <v>5000000</v>
      </c>
      <c r="E446" s="15"/>
      <c r="F446" s="15"/>
      <c r="G446" s="80">
        <v>5000000</v>
      </c>
      <c r="H446" s="79">
        <v>0</v>
      </c>
      <c r="I446" s="15">
        <f>+G446+H446</f>
        <v>5000000</v>
      </c>
      <c r="J446" s="16">
        <f>+I446/D446</f>
        <v>1</v>
      </c>
      <c r="K446" s="80">
        <v>2250000</v>
      </c>
      <c r="L446" s="80">
        <v>2675000</v>
      </c>
      <c r="M446" s="80">
        <f>+K446+L446</f>
        <v>4925000</v>
      </c>
      <c r="N446" s="16">
        <f>+M446/D446</f>
        <v>0.98499999999999999</v>
      </c>
      <c r="O446" s="80">
        <f>+D446-I446</f>
        <v>0</v>
      </c>
      <c r="P446" s="5"/>
      <c r="Q446" s="6" t="str">
        <f t="shared" si="143"/>
        <v>OKE</v>
      </c>
      <c r="R446" s="6"/>
    </row>
    <row r="447" spans="1:18" ht="15" hidden="1" thickBot="1" x14ac:dyDescent="0.25">
      <c r="A447" s="7"/>
      <c r="B447" s="7"/>
      <c r="C447" s="9"/>
      <c r="D447" s="15"/>
      <c r="E447" s="15"/>
      <c r="F447" s="15"/>
      <c r="G447" s="80"/>
      <c r="H447" s="79"/>
      <c r="I447" s="80"/>
      <c r="J447" s="80"/>
      <c r="K447" s="80"/>
      <c r="L447" s="93"/>
      <c r="M447" s="76"/>
      <c r="N447" s="76"/>
      <c r="O447" s="76"/>
      <c r="P447" s="5"/>
      <c r="Q447" s="6" t="str">
        <f t="shared" si="143"/>
        <v>OKE</v>
      </c>
      <c r="R447" s="6"/>
    </row>
    <row r="448" spans="1:18" ht="15" hidden="1" thickBot="1" x14ac:dyDescent="0.25">
      <c r="A448" s="74">
        <v>11</v>
      </c>
      <c r="B448" s="75" t="s">
        <v>42</v>
      </c>
      <c r="C448" s="76" t="s">
        <v>102</v>
      </c>
      <c r="D448" s="15">
        <v>60000000</v>
      </c>
      <c r="E448" s="15"/>
      <c r="F448" s="15"/>
      <c r="G448" s="80">
        <v>58849900</v>
      </c>
      <c r="H448" s="79">
        <v>0</v>
      </c>
      <c r="I448" s="15">
        <f>+G448+H448</f>
        <v>58849900</v>
      </c>
      <c r="J448" s="16">
        <f>+I448/D448</f>
        <v>0.98083166666666666</v>
      </c>
      <c r="K448" s="80">
        <v>58729900</v>
      </c>
      <c r="L448" s="80">
        <v>0</v>
      </c>
      <c r="M448" s="80">
        <f>+K448+L448</f>
        <v>58729900</v>
      </c>
      <c r="N448" s="16">
        <f>+M448/D448</f>
        <v>0.97883166666666666</v>
      </c>
      <c r="O448" s="80">
        <f>+D448-I448</f>
        <v>1150100</v>
      </c>
      <c r="P448" s="5"/>
      <c r="Q448" s="6" t="str">
        <f t="shared" si="143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43"/>
        <v>OKE</v>
      </c>
      <c r="R449" s="6"/>
    </row>
    <row r="450" spans="1:40" ht="15" hidden="1" thickBot="1" x14ac:dyDescent="0.25">
      <c r="A450" s="85"/>
      <c r="B450" s="85"/>
      <c r="C450" s="34" t="s">
        <v>103</v>
      </c>
      <c r="D450" s="41">
        <f>+D448+D446</f>
        <v>65000000</v>
      </c>
      <c r="E450" s="41"/>
      <c r="F450" s="41"/>
      <c r="G450" s="41">
        <f>+G448+G446</f>
        <v>63849900</v>
      </c>
      <c r="H450" s="42">
        <f>+H448+H446</f>
        <v>0</v>
      </c>
      <c r="I450" s="41">
        <f>+G450+H450</f>
        <v>63849900</v>
      </c>
      <c r="J450" s="43">
        <f>+I450/D450</f>
        <v>0.98230615384615383</v>
      </c>
      <c r="K450" s="41">
        <f>+K448+K446</f>
        <v>60979900</v>
      </c>
      <c r="L450" s="41">
        <f>+L448+L446</f>
        <v>2675000</v>
      </c>
      <c r="M450" s="259">
        <f>+K450+L450</f>
        <v>63654900</v>
      </c>
      <c r="N450" s="43">
        <f>+M450/D450</f>
        <v>0.97930615384615383</v>
      </c>
      <c r="O450" s="41">
        <f>+D450-I450</f>
        <v>1150100</v>
      </c>
      <c r="P450" s="5"/>
      <c r="Q450" s="6" t="str">
        <f t="shared" si="143"/>
        <v>OKE</v>
      </c>
      <c r="R450" s="6"/>
    </row>
    <row r="451" spans="1:40" ht="15" hidden="1" thickBot="1" x14ac:dyDescent="0.25">
      <c r="A451" s="74"/>
      <c r="B451" s="74"/>
      <c r="C451" s="76"/>
      <c r="D451" s="15"/>
      <c r="E451" s="15"/>
      <c r="F451" s="15"/>
      <c r="G451" s="80"/>
      <c r="H451" s="79"/>
      <c r="I451" s="80"/>
      <c r="J451" s="80"/>
      <c r="K451" s="80"/>
      <c r="L451" s="76"/>
      <c r="M451" s="76"/>
      <c r="N451" s="76"/>
      <c r="O451" s="76"/>
      <c r="P451" s="5"/>
      <c r="Q451" s="6" t="str">
        <f t="shared" si="143"/>
        <v>OKE</v>
      </c>
      <c r="R451" s="6"/>
    </row>
    <row r="452" spans="1:40" ht="15" hidden="1" thickBot="1" x14ac:dyDescent="0.25">
      <c r="A452" s="7" t="s">
        <v>38</v>
      </c>
      <c r="B452" s="7" t="s">
        <v>104</v>
      </c>
      <c r="C452" s="9" t="s">
        <v>105</v>
      </c>
      <c r="D452" s="10">
        <f>+D454+D456</f>
        <v>65000000</v>
      </c>
      <c r="E452" s="10"/>
      <c r="F452" s="10"/>
      <c r="G452" s="10">
        <f>+G454+G456</f>
        <v>63625000</v>
      </c>
      <c r="H452" s="11">
        <f>+H454+H456</f>
        <v>0</v>
      </c>
      <c r="I452" s="10">
        <f>+G452+H452</f>
        <v>63625000</v>
      </c>
      <c r="J452" s="12">
        <f>+I452/D452</f>
        <v>0.97884615384615381</v>
      </c>
      <c r="K452" s="10">
        <f>+K454+K456</f>
        <v>58383200</v>
      </c>
      <c r="L452" s="10">
        <f>+L454+L456</f>
        <v>5241800</v>
      </c>
      <c r="M452" s="10">
        <f>+K452+L452</f>
        <v>63625000</v>
      </c>
      <c r="N452" s="12">
        <f>+M452/D452</f>
        <v>0.97884615384615381</v>
      </c>
      <c r="O452" s="10">
        <f>+D452-I452</f>
        <v>1375000</v>
      </c>
      <c r="P452" s="5"/>
      <c r="Q452" s="6" t="str">
        <f t="shared" si="143"/>
        <v>OKE</v>
      </c>
      <c r="R452" s="6"/>
    </row>
    <row r="453" spans="1:40" ht="15" hidden="1" thickBot="1" x14ac:dyDescent="0.25">
      <c r="A453" s="7"/>
      <c r="B453" s="7"/>
      <c r="C453" s="9"/>
      <c r="D453" s="15"/>
      <c r="E453" s="15"/>
      <c r="F453" s="15"/>
      <c r="G453" s="80"/>
      <c r="H453" s="79"/>
      <c r="I453" s="80"/>
      <c r="J453" s="80"/>
      <c r="K453" s="80"/>
      <c r="L453" s="93"/>
      <c r="M453" s="76"/>
      <c r="N453" s="76"/>
      <c r="O453" s="76"/>
      <c r="P453" s="5"/>
      <c r="Q453" s="6" t="str">
        <f t="shared" si="143"/>
        <v>OKE</v>
      </c>
      <c r="R453" s="6"/>
    </row>
    <row r="454" spans="1:40" ht="15" hidden="1" thickBot="1" x14ac:dyDescent="0.25">
      <c r="A454" s="74">
        <v>12</v>
      </c>
      <c r="B454" s="75" t="s">
        <v>71</v>
      </c>
      <c r="C454" s="76" t="s">
        <v>106</v>
      </c>
      <c r="D454" s="15">
        <v>32000000</v>
      </c>
      <c r="E454" s="15"/>
      <c r="F454" s="15"/>
      <c r="G454" s="80">
        <v>32000000</v>
      </c>
      <c r="H454" s="79">
        <v>0</v>
      </c>
      <c r="I454" s="15">
        <f>+G454+H454</f>
        <v>32000000</v>
      </c>
      <c r="J454" s="16">
        <f>+I454/D454</f>
        <v>1</v>
      </c>
      <c r="K454" s="80">
        <v>26758200</v>
      </c>
      <c r="L454" s="80">
        <v>5241800</v>
      </c>
      <c r="M454" s="80">
        <f>+K454+L454</f>
        <v>32000000</v>
      </c>
      <c r="N454" s="16">
        <f>+M454/D454</f>
        <v>1</v>
      </c>
      <c r="O454" s="80">
        <f>+D454-I454</f>
        <v>0</v>
      </c>
      <c r="P454" s="5"/>
      <c r="Q454" s="6" t="str">
        <f t="shared" si="143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270"/>
      <c r="L455" s="93"/>
      <c r="M455" s="76"/>
      <c r="N455" s="76"/>
      <c r="O455" s="76"/>
      <c r="P455" s="5"/>
      <c r="Q455" s="6" t="str">
        <f t="shared" si="143"/>
        <v>OKE</v>
      </c>
      <c r="R455" s="6"/>
    </row>
    <row r="456" spans="1:40" ht="15" hidden="1" thickBot="1" x14ac:dyDescent="0.25">
      <c r="A456" s="74">
        <v>13</v>
      </c>
      <c r="B456" s="75" t="s">
        <v>107</v>
      </c>
      <c r="C456" s="76" t="s">
        <v>108</v>
      </c>
      <c r="D456" s="15">
        <v>33000000</v>
      </c>
      <c r="E456" s="15"/>
      <c r="F456" s="15"/>
      <c r="G456" s="80">
        <v>31625000</v>
      </c>
      <c r="H456" s="79">
        <v>0</v>
      </c>
      <c r="I456" s="15">
        <f>+G456+H456</f>
        <v>31625000</v>
      </c>
      <c r="J456" s="16">
        <f>+I456/D456</f>
        <v>0.95833333333333337</v>
      </c>
      <c r="K456" s="80">
        <v>31625000</v>
      </c>
      <c r="L456" s="80">
        <v>0</v>
      </c>
      <c r="M456" s="80">
        <f>+K456+L456</f>
        <v>31625000</v>
      </c>
      <c r="N456" s="16">
        <f>+M456/D456</f>
        <v>0.95833333333333337</v>
      </c>
      <c r="O456" s="80">
        <f>+D456-I456</f>
        <v>1375000</v>
      </c>
      <c r="P456" s="5"/>
      <c r="Q456" s="6" t="str">
        <f t="shared" si="143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76"/>
      <c r="M457" s="76"/>
      <c r="N457" s="76"/>
      <c r="O457" s="76"/>
      <c r="P457" s="5"/>
      <c r="Q457" s="6" t="str">
        <f t="shared" si="143"/>
        <v>OKE</v>
      </c>
      <c r="R457" s="6"/>
    </row>
    <row r="458" spans="1:40" ht="15" hidden="1" thickBot="1" x14ac:dyDescent="0.25">
      <c r="A458" s="85"/>
      <c r="B458" s="85"/>
      <c r="C458" s="34" t="s">
        <v>109</v>
      </c>
      <c r="D458" s="41">
        <f>+D456+D454</f>
        <v>65000000</v>
      </c>
      <c r="E458" s="41"/>
      <c r="F458" s="41"/>
      <c r="G458" s="41">
        <f>+G456+G454</f>
        <v>63625000</v>
      </c>
      <c r="H458" s="42">
        <f>+H456+H454</f>
        <v>0</v>
      </c>
      <c r="I458" s="41">
        <f>+G458+H458</f>
        <v>63625000</v>
      </c>
      <c r="J458" s="43">
        <f>+I458/D458</f>
        <v>0.97884615384615381</v>
      </c>
      <c r="K458" s="41">
        <f>+K456+K454</f>
        <v>58383200</v>
      </c>
      <c r="L458" s="41">
        <f>+L456+L454</f>
        <v>5241800</v>
      </c>
      <c r="M458" s="41">
        <f>+K458+L458</f>
        <v>63625000</v>
      </c>
      <c r="N458" s="43">
        <f>+M458/D458</f>
        <v>0.97884615384615381</v>
      </c>
      <c r="O458" s="41">
        <f>+D458-I458</f>
        <v>1375000</v>
      </c>
      <c r="P458" s="5"/>
      <c r="Q458" s="6" t="str">
        <f t="shared" si="143"/>
        <v>OKE</v>
      </c>
      <c r="R458" s="6"/>
    </row>
    <row r="459" spans="1:40" ht="15" hidden="1" thickBot="1" x14ac:dyDescent="0.25">
      <c r="A459" s="74"/>
      <c r="B459" s="74"/>
      <c r="C459" s="76"/>
      <c r="D459" s="15"/>
      <c r="E459" s="15"/>
      <c r="F459" s="15"/>
      <c r="G459" s="80"/>
      <c r="H459" s="79"/>
      <c r="I459" s="80"/>
      <c r="J459" s="80"/>
      <c r="K459" s="80"/>
      <c r="L459" s="93"/>
      <c r="M459" s="76"/>
      <c r="N459" s="76"/>
      <c r="O459" s="76"/>
      <c r="P459" s="5"/>
      <c r="Q459" s="6" t="str">
        <f t="shared" si="143"/>
        <v>OKE</v>
      </c>
      <c r="R459" s="6"/>
    </row>
    <row r="460" spans="1:40" ht="15" hidden="1" thickBot="1" x14ac:dyDescent="0.25">
      <c r="A460" s="92"/>
      <c r="B460" s="92"/>
      <c r="C460" s="54"/>
      <c r="D460" s="55"/>
      <c r="E460" s="55"/>
      <c r="F460" s="55"/>
      <c r="G460" s="55"/>
      <c r="H460" s="56"/>
      <c r="I460" s="55"/>
      <c r="J460" s="57"/>
      <c r="K460" s="55"/>
      <c r="L460" s="55"/>
      <c r="M460" s="58"/>
      <c r="N460" s="59"/>
      <c r="O460" s="58"/>
      <c r="P460" s="5"/>
      <c r="Q460" s="6" t="str">
        <f t="shared" si="143"/>
        <v>OKE</v>
      </c>
      <c r="R460" s="6"/>
    </row>
    <row r="461" spans="1:40" s="72" customFormat="1" ht="10.5" customHeight="1" x14ac:dyDescent="0.2">
      <c r="A461" s="435"/>
      <c r="B461" s="436"/>
      <c r="C461" s="439" t="s">
        <v>110</v>
      </c>
      <c r="D461" s="429">
        <f t="shared" ref="D461:I461" si="144">+D30+D47+D62+D77+D98+D113+D126+D175+D192+D255</f>
        <v>70935668093</v>
      </c>
      <c r="E461" s="429">
        <f t="shared" si="144"/>
        <v>-36639150</v>
      </c>
      <c r="F461" s="441">
        <f t="shared" si="144"/>
        <v>70899028943</v>
      </c>
      <c r="G461" s="453">
        <f t="shared" si="144"/>
        <v>9991746589</v>
      </c>
      <c r="H461" s="429">
        <f t="shared" si="144"/>
        <v>7117923529</v>
      </c>
      <c r="I461" s="453">
        <f t="shared" si="144"/>
        <v>17109670118</v>
      </c>
      <c r="J461" s="431">
        <f>+I461/F461</f>
        <v>0.24132446343877989</v>
      </c>
      <c r="K461" s="453">
        <f>+K30+K47+K62+K77+K98+K113+K126+K175+K192+K255</f>
        <v>9937375038</v>
      </c>
      <c r="L461" s="429">
        <f>+L30+L47+L62+L77+L98+L113+L126+L175+L192+L255</f>
        <v>7115444508</v>
      </c>
      <c r="M461" s="453">
        <f>+K461+L461</f>
        <v>17052819546</v>
      </c>
      <c r="N461" s="433">
        <f>+M461/F461</f>
        <v>0.24052261082037935</v>
      </c>
      <c r="O461" s="429">
        <f>+F461-M461</f>
        <v>53846209397</v>
      </c>
      <c r="P461" s="5"/>
      <c r="Q461" s="6" t="str">
        <f t="shared" si="143"/>
        <v>OKE</v>
      </c>
      <c r="R461" s="6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</row>
    <row r="462" spans="1:40" s="73" customFormat="1" ht="18" customHeight="1" thickBot="1" x14ac:dyDescent="0.25">
      <c r="A462" s="437"/>
      <c r="B462" s="438"/>
      <c r="C462" s="430"/>
      <c r="D462" s="440"/>
      <c r="E462" s="440"/>
      <c r="F462" s="442"/>
      <c r="G462" s="454"/>
      <c r="H462" s="440"/>
      <c r="I462" s="462"/>
      <c r="J462" s="432"/>
      <c r="K462" s="454"/>
      <c r="L462" s="440"/>
      <c r="M462" s="462"/>
      <c r="N462" s="434"/>
      <c r="O462" s="430"/>
      <c r="P462" s="77"/>
      <c r="Q462" s="6" t="str">
        <f t="shared" si="143"/>
        <v>OKE</v>
      </c>
      <c r="R462" s="6"/>
      <c r="S462" s="306">
        <f>+S475+706240033</f>
        <v>7167424679</v>
      </c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</row>
    <row r="463" spans="1:40" ht="5.25" customHeight="1" x14ac:dyDescent="0.2">
      <c r="A463" s="90"/>
      <c r="B463" s="90"/>
      <c r="C463" s="37"/>
      <c r="D463" s="37"/>
      <c r="E463" s="37"/>
      <c r="F463" s="37"/>
      <c r="G463" s="37"/>
      <c r="H463" s="38"/>
      <c r="I463" s="40"/>
      <c r="J463" s="39"/>
      <c r="K463" s="37"/>
      <c r="L463" s="37"/>
      <c r="M463" s="60"/>
      <c r="N463" s="61"/>
      <c r="O463" s="62"/>
      <c r="P463" s="77"/>
    </row>
    <row r="464" spans="1:40" x14ac:dyDescent="0.2">
      <c r="A464" s="77"/>
      <c r="B464" s="77"/>
      <c r="C464" s="77"/>
      <c r="D464" s="31"/>
      <c r="G464" s="88"/>
      <c r="H464" s="63"/>
      <c r="I464" s="26"/>
      <c r="J464" s="26"/>
      <c r="K464" s="88"/>
      <c r="L464" s="77"/>
      <c r="M464" s="77"/>
      <c r="N464" s="77"/>
      <c r="O464" s="77"/>
      <c r="P464" s="64"/>
      <c r="Q464" s="64"/>
      <c r="R464" s="31" t="s">
        <v>148</v>
      </c>
      <c r="S464" s="189">
        <f>705876089+18029678+17605876+696520450</f>
        <v>1438032093</v>
      </c>
    </row>
    <row r="465" spans="1:19" hidden="1" x14ac:dyDescent="0.2">
      <c r="A465" s="77"/>
      <c r="B465" s="77"/>
      <c r="C465" s="77"/>
      <c r="G465" s="88"/>
      <c r="H465" s="63"/>
      <c r="I465" s="26"/>
      <c r="J465" s="26"/>
      <c r="K465" s="88"/>
      <c r="L465" s="77"/>
      <c r="M465" s="77"/>
      <c r="N465" s="77"/>
      <c r="O465" s="77"/>
      <c r="P465" s="77"/>
      <c r="Q465" s="77"/>
      <c r="R465" s="77"/>
      <c r="S465" s="189"/>
    </row>
    <row r="466" spans="1:19" hidden="1" x14ac:dyDescent="0.2">
      <c r="A466" s="77"/>
      <c r="B466" s="77"/>
      <c r="C466" s="77"/>
      <c r="G466" s="26"/>
      <c r="H466" s="271"/>
      <c r="I466" s="88"/>
      <c r="J466" s="88"/>
      <c r="K466" s="88"/>
      <c r="L466" s="77"/>
      <c r="M466" s="77"/>
      <c r="N466" s="77"/>
      <c r="O466" s="77"/>
      <c r="P466" s="77"/>
      <c r="Q466" s="77"/>
      <c r="R466" s="77"/>
      <c r="S466" s="189"/>
    </row>
    <row r="467" spans="1:19" x14ac:dyDescent="0.2">
      <c r="A467" s="77"/>
      <c r="B467" s="77"/>
      <c r="C467" s="77"/>
      <c r="D467" s="31"/>
      <c r="G467" s="26"/>
      <c r="H467" s="271"/>
      <c r="I467" s="88"/>
      <c r="J467" s="88"/>
      <c r="K467" s="88"/>
      <c r="L467" s="425" t="s">
        <v>351</v>
      </c>
      <c r="M467" s="426"/>
      <c r="N467" s="426"/>
      <c r="O467" s="426"/>
      <c r="P467" s="77" t="s">
        <v>302</v>
      </c>
      <c r="Q467" s="179">
        <f>4598328+59553184+776455</f>
        <v>64927967</v>
      </c>
      <c r="R467" s="77" t="s">
        <v>269</v>
      </c>
      <c r="S467" s="189">
        <v>72037500</v>
      </c>
    </row>
    <row r="468" spans="1:19" x14ac:dyDescent="0.2">
      <c r="A468" s="77"/>
      <c r="B468" s="77"/>
      <c r="C468" s="77"/>
      <c r="D468" s="31"/>
      <c r="G468" s="88"/>
      <c r="H468" s="271"/>
      <c r="I468" s="88"/>
      <c r="J468" s="88"/>
      <c r="K468" s="88"/>
      <c r="L468" s="425" t="s">
        <v>340</v>
      </c>
      <c r="M468" s="426"/>
      <c r="N468" s="426"/>
      <c r="O468" s="426"/>
      <c r="P468" s="77" t="s">
        <v>268</v>
      </c>
      <c r="Q468" s="179">
        <f>8159700+66955332+2806990</f>
        <v>77922022</v>
      </c>
      <c r="R468" s="77" t="s">
        <v>149</v>
      </c>
      <c r="S468" s="190">
        <f>7800000+7500000+849930145+877045379</f>
        <v>1742275524</v>
      </c>
    </row>
    <row r="469" spans="1:19" hidden="1" x14ac:dyDescent="0.2">
      <c r="A469" s="77"/>
      <c r="B469" s="77"/>
      <c r="C469" s="77"/>
      <c r="G469" s="88"/>
      <c r="H469" s="271"/>
      <c r="I469" s="88"/>
      <c r="J469" s="88"/>
      <c r="K469" s="88"/>
      <c r="L469" s="26"/>
      <c r="M469" s="88"/>
      <c r="N469" s="88"/>
      <c r="O469" s="77"/>
      <c r="P469" s="77"/>
      <c r="Q469" s="179"/>
      <c r="R469" s="77"/>
      <c r="S469" s="77"/>
    </row>
    <row r="470" spans="1:19" hidden="1" x14ac:dyDescent="0.2">
      <c r="A470" s="77"/>
      <c r="B470" s="77"/>
      <c r="C470" s="77"/>
      <c r="G470" s="88"/>
      <c r="H470" s="271"/>
      <c r="I470" s="88"/>
      <c r="J470" s="88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19" hidden="1" x14ac:dyDescent="0.2">
      <c r="A471" s="77"/>
      <c r="B471" s="77"/>
      <c r="C471" s="77"/>
      <c r="G471" s="88"/>
      <c r="H471" s="271"/>
      <c r="I471" s="88"/>
      <c r="J471" s="88"/>
      <c r="K471" s="88"/>
      <c r="L471" s="88"/>
      <c r="M471" s="88"/>
      <c r="N471" s="88"/>
      <c r="O471" s="77"/>
      <c r="P471" s="77"/>
      <c r="Q471" s="179"/>
      <c r="R471" s="77"/>
      <c r="S471" s="77"/>
    </row>
    <row r="472" spans="1:19" hidden="1" x14ac:dyDescent="0.2">
      <c r="A472" s="77"/>
      <c r="B472" s="77"/>
      <c r="C472" s="77"/>
      <c r="G472" s="88"/>
      <c r="H472" s="65"/>
      <c r="I472" s="200"/>
      <c r="J472" s="200"/>
      <c r="K472" s="88"/>
      <c r="L472" s="88"/>
      <c r="M472" s="88"/>
      <c r="N472" s="88"/>
      <c r="O472" s="77"/>
      <c r="P472" s="77"/>
      <c r="Q472" s="179"/>
      <c r="R472" s="77"/>
      <c r="S472" s="77"/>
    </row>
    <row r="473" spans="1:19" ht="12.75" customHeight="1" x14ac:dyDescent="0.2">
      <c r="A473" s="77"/>
      <c r="B473" s="77"/>
      <c r="C473" s="77"/>
      <c r="D473" s="31"/>
      <c r="G473" s="88"/>
      <c r="H473" s="65"/>
      <c r="I473" s="200"/>
      <c r="J473" s="200"/>
      <c r="K473" s="88"/>
      <c r="L473" s="425" t="s">
        <v>146</v>
      </c>
      <c r="M473" s="426"/>
      <c r="N473" s="426"/>
      <c r="O473" s="426"/>
      <c r="P473" s="77" t="s">
        <v>270</v>
      </c>
      <c r="Q473" s="179">
        <v>0</v>
      </c>
      <c r="R473" s="77" t="s">
        <v>271</v>
      </c>
      <c r="S473" s="179">
        <f>+Q477</f>
        <v>3208839529</v>
      </c>
    </row>
    <row r="474" spans="1:19" ht="12.7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425"/>
      <c r="M474" s="426"/>
      <c r="N474" s="426"/>
      <c r="O474" s="426"/>
      <c r="P474" s="77" t="s">
        <v>147</v>
      </c>
      <c r="Q474" s="179">
        <v>28568740</v>
      </c>
      <c r="R474" s="77"/>
      <c r="S474" s="278"/>
    </row>
    <row r="475" spans="1:19" ht="14.2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88"/>
      <c r="M475" s="88"/>
      <c r="N475" s="88"/>
      <c r="O475" s="77"/>
      <c r="P475" s="77" t="s">
        <v>151</v>
      </c>
      <c r="Q475" s="179">
        <v>40960000</v>
      </c>
      <c r="R475" s="277" t="s">
        <v>152</v>
      </c>
      <c r="S475" s="279">
        <f>SUM(S464:S473)</f>
        <v>6461184646</v>
      </c>
    </row>
    <row r="476" spans="1:19" ht="14.25" customHeight="1" x14ac:dyDescent="0.2">
      <c r="A476" s="77"/>
      <c r="B476" s="77"/>
      <c r="C476" s="77"/>
      <c r="G476" s="88"/>
      <c r="H476" s="65"/>
      <c r="I476" s="200"/>
      <c r="J476" s="200"/>
      <c r="K476" s="88"/>
      <c r="L476" s="88"/>
      <c r="M476" s="88"/>
      <c r="N476" s="88"/>
      <c r="O476" s="77"/>
      <c r="P476" s="77" t="s">
        <v>274</v>
      </c>
      <c r="Q476" s="179">
        <f>35700000+100000000+152539000+15900000+24000000+46350000+43875000+40000000+23800000+24500000+117600000+27300000+29120000+14019300+22375000+54054000+66713500+8400000+2000000+11565000+67200000+12500000+2056950000</f>
        <v>2996460800</v>
      </c>
      <c r="R476" s="77"/>
      <c r="S476" s="179"/>
    </row>
    <row r="477" spans="1:19" x14ac:dyDescent="0.2">
      <c r="A477" s="77"/>
      <c r="B477" s="77"/>
      <c r="C477" s="77"/>
      <c r="G477" s="66"/>
      <c r="H477" s="65"/>
      <c r="I477" s="200"/>
      <c r="J477" s="200"/>
      <c r="K477" s="88"/>
      <c r="L477" s="427" t="s">
        <v>343</v>
      </c>
      <c r="M477" s="427"/>
      <c r="N477" s="427"/>
      <c r="O477" s="427"/>
      <c r="P477" s="277" t="s">
        <v>273</v>
      </c>
      <c r="Q477" s="280">
        <f>SUM(Q467:Q476)</f>
        <v>3208839529</v>
      </c>
      <c r="R477" s="192" t="s">
        <v>150</v>
      </c>
      <c r="S477" s="191">
        <f>+L461-S475</f>
        <v>654259862</v>
      </c>
    </row>
    <row r="478" spans="1:19" ht="15" customHeight="1" x14ac:dyDescent="0.2">
      <c r="A478" s="77"/>
      <c r="B478" s="77"/>
      <c r="C478" s="77"/>
      <c r="G478" s="67"/>
      <c r="H478" s="271"/>
      <c r="I478" s="88"/>
      <c r="J478" s="88"/>
      <c r="K478" s="88"/>
      <c r="L478" s="428" t="s">
        <v>342</v>
      </c>
      <c r="M478" s="428"/>
      <c r="N478" s="428"/>
      <c r="O478" s="428"/>
      <c r="P478" s="77"/>
      <c r="Q478" s="77"/>
      <c r="R478" s="192" t="s">
        <v>272</v>
      </c>
      <c r="S478" s="191">
        <f>+S475+S477+1343435000</f>
        <v>8458879508</v>
      </c>
    </row>
    <row r="481" spans="19:19" x14ac:dyDescent="0.2">
      <c r="S481" s="319"/>
    </row>
    <row r="486" spans="19:19" hidden="1" x14ac:dyDescent="0.2"/>
    <row r="487" spans="19:19" hidden="1" x14ac:dyDescent="0.2"/>
    <row r="488" spans="19:19" hidden="1" x14ac:dyDescent="0.2"/>
    <row r="489" spans="19:19" hidden="1" x14ac:dyDescent="0.2"/>
    <row r="490" spans="19:19" hidden="1" x14ac:dyDescent="0.2"/>
    <row r="491" spans="19:19" hidden="1" x14ac:dyDescent="0.2"/>
    <row r="492" spans="19:19" hidden="1" x14ac:dyDescent="0.2"/>
    <row r="493" spans="19:19" hidden="1" x14ac:dyDescent="0.2"/>
    <row r="494" spans="19:19" hidden="1" x14ac:dyDescent="0.2"/>
    <row r="495" spans="19:19" hidden="1" x14ac:dyDescent="0.2"/>
    <row r="496" spans="19:19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</sheetData>
  <mergeCells count="242"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A47:A48"/>
    <mergeCell ref="B47:B48"/>
    <mergeCell ref="C47:C48"/>
    <mergeCell ref="C77:C78"/>
    <mergeCell ref="D77:D78"/>
    <mergeCell ref="E77:E78"/>
    <mergeCell ref="F77:F78"/>
    <mergeCell ref="G77:G78"/>
    <mergeCell ref="H77:H78"/>
    <mergeCell ref="H62:H63"/>
    <mergeCell ref="N47:N48"/>
    <mergeCell ref="D47:D48"/>
    <mergeCell ref="E47:E48"/>
    <mergeCell ref="F47:F48"/>
    <mergeCell ref="J98:J99"/>
    <mergeCell ref="K98:K99"/>
    <mergeCell ref="L98:L99"/>
    <mergeCell ref="M98:M99"/>
    <mergeCell ref="N98:N99"/>
    <mergeCell ref="K62:K63"/>
    <mergeCell ref="L62:L63"/>
    <mergeCell ref="M62:M63"/>
    <mergeCell ref="M47:M48"/>
    <mergeCell ref="O98:O99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M113:M114"/>
    <mergeCell ref="N113:N114"/>
    <mergeCell ref="O113:O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I113:I114"/>
    <mergeCell ref="J113:J114"/>
    <mergeCell ref="K113:K114"/>
    <mergeCell ref="L113:L114"/>
    <mergeCell ref="A113:A114"/>
    <mergeCell ref="B113:B114"/>
    <mergeCell ref="C113:C114"/>
    <mergeCell ref="D113:D114"/>
    <mergeCell ref="E113:E114"/>
    <mergeCell ref="F113:F114"/>
    <mergeCell ref="N126:N127"/>
    <mergeCell ref="O126:O127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H126:H127"/>
    <mergeCell ref="I126:I127"/>
    <mergeCell ref="J126:J127"/>
    <mergeCell ref="K126:K127"/>
    <mergeCell ref="L126:L127"/>
    <mergeCell ref="M126:M127"/>
    <mergeCell ref="M192:M193"/>
    <mergeCell ref="N192:N193"/>
    <mergeCell ref="O192:O193"/>
    <mergeCell ref="O175:O176"/>
    <mergeCell ref="I175:I176"/>
    <mergeCell ref="J175:J176"/>
    <mergeCell ref="K175:K176"/>
    <mergeCell ref="L175:L176"/>
    <mergeCell ref="M175:M176"/>
    <mergeCell ref="N175:N176"/>
    <mergeCell ref="C248:C249"/>
    <mergeCell ref="A255:A256"/>
    <mergeCell ref="B255:B256"/>
    <mergeCell ref="C255:C256"/>
    <mergeCell ref="D255:D256"/>
    <mergeCell ref="E255:E256"/>
    <mergeCell ref="J192:J193"/>
    <mergeCell ref="K192:K193"/>
    <mergeCell ref="L192:L193"/>
    <mergeCell ref="L255:L256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M255:M256"/>
    <mergeCell ref="N255:N256"/>
    <mergeCell ref="O255:O256"/>
    <mergeCell ref="A269:O269"/>
    <mergeCell ref="A270:O270"/>
    <mergeCell ref="F255:F256"/>
    <mergeCell ref="G255:G256"/>
    <mergeCell ref="H255:H256"/>
    <mergeCell ref="I255:I256"/>
    <mergeCell ref="J255:J256"/>
    <mergeCell ref="K255:K256"/>
    <mergeCell ref="A271:O271"/>
    <mergeCell ref="A272:A274"/>
    <mergeCell ref="B272:B274"/>
    <mergeCell ref="C272:C274"/>
    <mergeCell ref="D272:D274"/>
    <mergeCell ref="G272:J272"/>
    <mergeCell ref="K272:N272"/>
    <mergeCell ref="O272:O274"/>
    <mergeCell ref="G273:J273"/>
    <mergeCell ref="K273:N273"/>
    <mergeCell ref="A325:O325"/>
    <mergeCell ref="A326:A328"/>
    <mergeCell ref="B326:B328"/>
    <mergeCell ref="C326:C328"/>
    <mergeCell ref="D326:D328"/>
    <mergeCell ref="G326:J326"/>
    <mergeCell ref="K326:N326"/>
    <mergeCell ref="O326:O328"/>
    <mergeCell ref="G327:J327"/>
    <mergeCell ref="K327:N327"/>
    <mergeCell ref="O356:O357"/>
    <mergeCell ref="A380:O380"/>
    <mergeCell ref="A381:O381"/>
    <mergeCell ref="A382:O382"/>
    <mergeCell ref="A383:A385"/>
    <mergeCell ref="B383:B385"/>
    <mergeCell ref="C383:C385"/>
    <mergeCell ref="D383:D385"/>
    <mergeCell ref="G383:J383"/>
    <mergeCell ref="K383:N383"/>
    <mergeCell ref="I356:I357"/>
    <mergeCell ref="J356:J357"/>
    <mergeCell ref="K356:K357"/>
    <mergeCell ref="L356:L357"/>
    <mergeCell ref="M356:M357"/>
    <mergeCell ref="N356:N357"/>
    <mergeCell ref="A356:A357"/>
    <mergeCell ref="B356:B357"/>
    <mergeCell ref="C356:C357"/>
    <mergeCell ref="D356:D357"/>
    <mergeCell ref="G356:G357"/>
    <mergeCell ref="H356:H357"/>
    <mergeCell ref="O383:O385"/>
    <mergeCell ref="G384:J384"/>
    <mergeCell ref="K384:N384"/>
    <mergeCell ref="A437:A439"/>
    <mergeCell ref="B437:B439"/>
    <mergeCell ref="C437:C439"/>
    <mergeCell ref="D437:D439"/>
    <mergeCell ref="G437:J437"/>
    <mergeCell ref="K437:N437"/>
    <mergeCell ref="O437:O439"/>
    <mergeCell ref="G438:J438"/>
    <mergeCell ref="K438:N438"/>
    <mergeCell ref="A461:B462"/>
    <mergeCell ref="C461:C462"/>
    <mergeCell ref="D461:D462"/>
    <mergeCell ref="E461:E462"/>
    <mergeCell ref="F461:F462"/>
    <mergeCell ref="G461:G462"/>
    <mergeCell ref="H461:H462"/>
    <mergeCell ref="I461:I462"/>
    <mergeCell ref="L467:O467"/>
    <mergeCell ref="L468:O468"/>
    <mergeCell ref="L473:O473"/>
    <mergeCell ref="L474:O474"/>
    <mergeCell ref="L477:O477"/>
    <mergeCell ref="L478:O478"/>
    <mergeCell ref="J461:J462"/>
    <mergeCell ref="K461:K462"/>
    <mergeCell ref="L461:L462"/>
    <mergeCell ref="M461:M462"/>
    <mergeCell ref="N461:N462"/>
    <mergeCell ref="O461:O462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1"/>
  <sheetViews>
    <sheetView workbookViewId="0">
      <selection activeCell="I18" sqref="I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345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5692908740</v>
      </c>
      <c r="G8" s="107">
        <f>F8/E8</f>
        <v>0.28820991491312575</v>
      </c>
      <c r="H8" s="105">
        <f>SUM(H9:H11)</f>
        <v>5662389920</v>
      </c>
      <c r="I8" s="108">
        <f>H8/E8</f>
        <v>0.28666486528785301</v>
      </c>
      <c r="J8" s="109">
        <f>C8-H8</f>
        <v>14090257180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+april!I30</f>
        <v>340509240</v>
      </c>
      <c r="G9" s="115">
        <f>F9/E9</f>
        <v>0.30364592617653807</v>
      </c>
      <c r="H9" s="113">
        <f>+april!M30</f>
        <v>313172420</v>
      </c>
      <c r="I9" s="115">
        <f>H9/E9</f>
        <v>0.27926857292873397</v>
      </c>
      <c r="J9" s="116">
        <f>E9-H9</f>
        <v>808229880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+april!I62</f>
        <v>5290824500</v>
      </c>
      <c r="G10" s="115">
        <f t="shared" ref="G10:G20" si="0">F10/E10</f>
        <v>0.29438862862584647</v>
      </c>
      <c r="H10" s="113">
        <f>+april!M62</f>
        <v>5288897000</v>
      </c>
      <c r="I10" s="115">
        <f t="shared" ref="I10:I20" si="1">H10/E10</f>
        <v>0.29428137991977499</v>
      </c>
      <c r="J10" s="116">
        <f t="shared" ref="J10:J20" si="2">E10-H10</f>
        <v>12683347800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+april!I47</f>
        <v>61575000</v>
      </c>
      <c r="G11" s="131">
        <f t="shared" si="0"/>
        <v>9.3437025796661605E-2</v>
      </c>
      <c r="H11" s="153">
        <f>+april!M47</f>
        <v>60320500</v>
      </c>
      <c r="I11" s="131">
        <f t="shared" si="1"/>
        <v>9.1533383915022762E-2</v>
      </c>
      <c r="J11" s="154">
        <f t="shared" si="2"/>
        <v>598679500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411460728</v>
      </c>
      <c r="G12" s="129">
        <f>F12/E12</f>
        <v>3.8574572414544817E-2</v>
      </c>
      <c r="H12" s="157">
        <f>SUM(H13:H15)</f>
        <v>390184653</v>
      </c>
      <c r="I12" s="129">
        <f>H12/E12</f>
        <v>3.6579933704371764E-2</v>
      </c>
      <c r="J12" s="159">
        <f t="shared" ref="J12:J16" si="4">C12-H12</f>
        <v>10276446297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+april!I98</f>
        <v>259793150</v>
      </c>
      <c r="G13" s="115">
        <f t="shared" si="0"/>
        <v>0.11765004903459997</v>
      </c>
      <c r="H13" s="113">
        <f>+april!M98</f>
        <v>247012949</v>
      </c>
      <c r="I13" s="115">
        <f t="shared" si="1"/>
        <v>0.11186240115272916</v>
      </c>
      <c r="J13" s="116">
        <f t="shared" si="2"/>
        <v>1961172701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+april!I77</f>
        <v>67855250</v>
      </c>
      <c r="G14" s="115">
        <f t="shared" si="0"/>
        <v>1.1241878847270556E-2</v>
      </c>
      <c r="H14" s="113">
        <f>+april!M77</f>
        <v>65984756</v>
      </c>
      <c r="I14" s="115">
        <f t="shared" si="1"/>
        <v>1.0931985848091472E-2</v>
      </c>
      <c r="J14" s="116">
        <f t="shared" si="2"/>
        <v>5969950244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+april!I113</f>
        <v>83812328</v>
      </c>
      <c r="G15" s="121">
        <f t="shared" si="0"/>
        <v>3.4597305117753267E-2</v>
      </c>
      <c r="H15" s="119">
        <f>+april!M113</f>
        <v>77186948</v>
      </c>
      <c r="I15" s="131">
        <f t="shared" si="1"/>
        <v>3.1862381761596635E-2</v>
      </c>
      <c r="J15" s="122">
        <f t="shared" si="2"/>
        <v>2345323352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3"/>
        <v>40479750893</v>
      </c>
      <c r="F16" s="127">
        <f>SUM(F17:F20)</f>
        <v>11005300650</v>
      </c>
      <c r="G16" s="128">
        <f>F16/E16</f>
        <v>0.27187174839811334</v>
      </c>
      <c r="H16" s="125">
        <f>SUM(H17:H20)</f>
        <v>11000244973</v>
      </c>
      <c r="I16" s="129">
        <f>H16/E16</f>
        <v>0.27174685442301544</v>
      </c>
      <c r="J16" s="130">
        <f t="shared" si="4"/>
        <v>29479505920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+april!I126</f>
        <v>260514000</v>
      </c>
      <c r="G17" s="115">
        <f t="shared" si="0"/>
        <v>0.23310694094318143</v>
      </c>
      <c r="H17" s="133">
        <f>+april!M126</f>
        <v>258513500</v>
      </c>
      <c r="I17" s="115">
        <f t="shared" si="1"/>
        <v>0.23131690111669673</v>
      </c>
      <c r="J17" s="116">
        <f t="shared" si="2"/>
        <v>859059400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+april!I192</f>
        <v>146767900</v>
      </c>
      <c r="G18" s="115">
        <f>F18/E18</f>
        <v>0.12342674273704338</v>
      </c>
      <c r="H18" s="133">
        <f>+april!M192</f>
        <v>146314320</v>
      </c>
      <c r="I18" s="115">
        <f t="shared" si="1"/>
        <v>0.12304529759835386</v>
      </c>
      <c r="J18" s="116">
        <f t="shared" si="2"/>
        <v>1042795080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+april!I255</f>
        <v>3291601666</v>
      </c>
      <c r="G19" s="115">
        <f t="shared" ref="G19" si="6">F19/E19</f>
        <v>0.27023701274791317</v>
      </c>
      <c r="H19" s="133">
        <f>+april!M255</f>
        <v>3289189769</v>
      </c>
      <c r="I19" s="115">
        <f t="shared" si="1"/>
        <v>0.27003899855711111</v>
      </c>
      <c r="J19" s="116">
        <f t="shared" si="2"/>
        <v>8891235231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3"/>
        <v>25992643593</v>
      </c>
      <c r="F20" s="133">
        <f>+april!I175</f>
        <v>7306417084</v>
      </c>
      <c r="G20" s="115">
        <f t="shared" si="0"/>
        <v>0.28109557451738648</v>
      </c>
      <c r="H20" s="133">
        <f>+april!M175</f>
        <v>7306227384</v>
      </c>
      <c r="I20" s="115">
        <f t="shared" si="1"/>
        <v>0.28108827629859157</v>
      </c>
      <c r="J20" s="116">
        <f t="shared" si="2"/>
        <v>18686416209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70899028943</v>
      </c>
      <c r="D21" s="163">
        <f>D16+D12+D8</f>
        <v>0</v>
      </c>
      <c r="E21" s="164">
        <f>D21+C21</f>
        <v>70899028943</v>
      </c>
      <c r="F21" s="164">
        <f>F16+F12+F8</f>
        <v>17109670118</v>
      </c>
      <c r="G21" s="165">
        <f>F21/E21</f>
        <v>0.24132446343877989</v>
      </c>
      <c r="H21" s="166">
        <f>H16+H12+H8</f>
        <v>17052819546</v>
      </c>
      <c r="I21" s="165">
        <f>H21/E21</f>
        <v>0.24052261082037935</v>
      </c>
      <c r="J21" s="167">
        <f>E21-H21</f>
        <v>53846209397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H24" s="443" t="s">
        <v>346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66" t="s">
        <v>343</v>
      </c>
      <c r="I30" s="466"/>
      <c r="J30" s="466"/>
      <c r="K30" s="66"/>
    </row>
    <row r="31" spans="1:11" x14ac:dyDescent="0.25">
      <c r="H31" s="465" t="s">
        <v>342</v>
      </c>
      <c r="I31" s="465"/>
      <c r="J31" s="465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E14"/>
  <sheetViews>
    <sheetView topLeftCell="A16" zoomScale="84" zoomScaleNormal="84" workbookViewId="0">
      <selection activeCell="I18" sqref="I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april'!F9</f>
        <v>340509240</v>
      </c>
      <c r="E4" s="195">
        <f>+'Rekap april'!H9</f>
        <v>313172420</v>
      </c>
    </row>
    <row r="5" spans="2:5" x14ac:dyDescent="0.25">
      <c r="B5" t="s">
        <v>287</v>
      </c>
      <c r="C5" s="195">
        <f>+'Rekap jan'!C10</f>
        <v>17972244800</v>
      </c>
      <c r="D5" s="195">
        <f>+'Rekap april'!F10</f>
        <v>5290824500</v>
      </c>
      <c r="E5" s="195">
        <f>+'Rekap april'!H10</f>
        <v>5288897000</v>
      </c>
    </row>
    <row r="6" spans="2:5" x14ac:dyDescent="0.25">
      <c r="B6" t="s">
        <v>288</v>
      </c>
      <c r="C6" s="195">
        <f>+'Rekap jan'!C11</f>
        <v>659000000</v>
      </c>
      <c r="D6" s="195">
        <f>+'Rekap april'!F11</f>
        <v>61575000</v>
      </c>
      <c r="E6" s="195">
        <f>+'Rekap april'!H11</f>
        <v>60320500</v>
      </c>
    </row>
    <row r="7" spans="2:5" x14ac:dyDescent="0.25">
      <c r="B7" s="349" t="s">
        <v>360</v>
      </c>
      <c r="C7" s="195">
        <f>+'Rekap peb'!C13</f>
        <v>2208185650</v>
      </c>
      <c r="D7" s="195">
        <f>+'Rekap april'!F13</f>
        <v>259793150</v>
      </c>
      <c r="E7" s="195">
        <f>+'Rekap april'!H13</f>
        <v>247012949</v>
      </c>
    </row>
    <row r="8" spans="2:5" x14ac:dyDescent="0.25">
      <c r="B8" t="s">
        <v>284</v>
      </c>
      <c r="C8" s="195">
        <f>+'Rekap jan'!C14</f>
        <v>6035935000</v>
      </c>
      <c r="D8" s="195">
        <f>+'Rekap april'!F14</f>
        <v>67855250</v>
      </c>
      <c r="E8" s="195">
        <f>+'Rekap april'!H14</f>
        <v>65984756</v>
      </c>
    </row>
    <row r="9" spans="2:5" x14ac:dyDescent="0.25">
      <c r="B9" t="s">
        <v>290</v>
      </c>
      <c r="C9" s="195">
        <f>+'Rekap jan'!C15</f>
        <v>2422510300</v>
      </c>
      <c r="D9" s="195">
        <f>+'Rekap april'!F15</f>
        <v>83812328</v>
      </c>
      <c r="E9" s="195">
        <f>+'Rekap april'!H15</f>
        <v>77186948</v>
      </c>
    </row>
    <row r="10" spans="2:5" x14ac:dyDescent="0.25">
      <c r="B10" t="s">
        <v>361</v>
      </c>
      <c r="C10" s="195">
        <f>+'Rekap jan'!C17</f>
        <v>1117572900</v>
      </c>
      <c r="D10" s="195">
        <f>+'Rekap april'!F17</f>
        <v>260514000</v>
      </c>
      <c r="E10" s="195">
        <f>+'Rekap april'!H15</f>
        <v>77186948</v>
      </c>
    </row>
    <row r="11" spans="2:5" x14ac:dyDescent="0.25">
      <c r="B11" t="s">
        <v>291</v>
      </c>
      <c r="C11" s="195">
        <f>+'Rekap jan'!C18</f>
        <v>1189109400</v>
      </c>
      <c r="D11" s="195">
        <f>+'Rekap april'!F18</f>
        <v>146767900</v>
      </c>
      <c r="E11" s="195">
        <f>+'Rekap april'!H18</f>
        <v>146314320</v>
      </c>
    </row>
    <row r="12" spans="2:5" x14ac:dyDescent="0.25">
      <c r="B12" t="s">
        <v>292</v>
      </c>
      <c r="C12" s="195">
        <f>+'Rekap jan'!C19</f>
        <v>12180425000</v>
      </c>
      <c r="D12" s="195">
        <f>+'Rekap april'!F19</f>
        <v>3291601666</v>
      </c>
      <c r="E12" s="195">
        <f>+'Rekap april'!H19</f>
        <v>3289189769</v>
      </c>
    </row>
    <row r="13" spans="2:5" x14ac:dyDescent="0.25">
      <c r="B13" t="s">
        <v>293</v>
      </c>
      <c r="C13" s="195">
        <f>+'Rekap jan'!C20</f>
        <v>25992643593</v>
      </c>
      <c r="D13" s="195">
        <f>+'Rekap april'!F20</f>
        <v>7306417084</v>
      </c>
      <c r="E13" s="195">
        <f>+'Rekap april'!H20</f>
        <v>7306227384</v>
      </c>
    </row>
    <row r="14" spans="2:5" x14ac:dyDescent="0.25">
      <c r="C14" s="308">
        <f>SUM(C4:C13)</f>
        <v>70899028943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590"/>
  <sheetViews>
    <sheetView view="pageBreakPreview" topLeftCell="B43" zoomScale="110" zoomScaleSheetLayoutView="110" workbookViewId="0">
      <selection activeCell="I18" sqref="I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6.28515625" style="68" customWidth="1"/>
    <col min="4" max="4" width="15.85546875" style="5" hidden="1" customWidth="1"/>
    <col min="5" max="5" width="18.1406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7.140625" style="68" customWidth="1"/>
    <col min="20" max="20" width="9.140625" style="68"/>
    <col min="21" max="21" width="18.85546875" style="68" bestFit="1" customWidth="1"/>
    <col min="22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349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340509240</v>
      </c>
      <c r="H12" s="10">
        <f t="shared" si="0"/>
        <v>130633440</v>
      </c>
      <c r="I12" s="10">
        <f>+G12+H12</f>
        <v>471142680</v>
      </c>
      <c r="J12" s="168">
        <f>+I12/F12</f>
        <v>0.42013707302009279</v>
      </c>
      <c r="K12" s="10">
        <f t="shared" ref="K12:L12" si="1">+K14+K24</f>
        <v>313172420</v>
      </c>
      <c r="L12" s="10">
        <f t="shared" si="1"/>
        <v>156990260</v>
      </c>
      <c r="M12" s="180">
        <f>+K12+L12</f>
        <v>470162680</v>
      </c>
      <c r="N12" s="169">
        <f>+M12/F12</f>
        <v>0.41926316719699969</v>
      </c>
      <c r="O12" s="10">
        <f>+F12-M12</f>
        <v>651239620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219840640</v>
      </c>
      <c r="H14" s="178">
        <f>+H16+H20+H18</f>
        <v>77387040</v>
      </c>
      <c r="I14" s="10">
        <f>+G14+H14</f>
        <v>297227680</v>
      </c>
      <c r="J14" s="168">
        <f>+I14/F14</f>
        <v>0.3218187170828356</v>
      </c>
      <c r="K14" s="178">
        <f>+K16+K20+K18</f>
        <v>192503820</v>
      </c>
      <c r="L14" s="178">
        <f>+L16+L20+L18</f>
        <v>104723860</v>
      </c>
      <c r="M14" s="180">
        <f>+K14+L14</f>
        <v>297227680</v>
      </c>
      <c r="N14" s="169">
        <f>+M14/F14</f>
        <v>0.3218187170828356</v>
      </c>
      <c r="O14" s="10">
        <f>+F14-M14</f>
        <v>626359620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+april!I16</f>
        <v>122925240</v>
      </c>
      <c r="H16" s="80">
        <f>2293180+37648860</f>
        <v>39942040</v>
      </c>
      <c r="I16" s="15">
        <f>+G16+H16</f>
        <v>162867280</v>
      </c>
      <c r="J16" s="143">
        <f>+I16/F16</f>
        <v>0.39688907073477242</v>
      </c>
      <c r="K16" s="80">
        <f>+april!M16</f>
        <v>122468420</v>
      </c>
      <c r="L16" s="80">
        <f>37648860+2750000</f>
        <v>40398860</v>
      </c>
      <c r="M16" s="80">
        <f>+K16+L16</f>
        <v>162867280</v>
      </c>
      <c r="N16" s="171">
        <f>+M16/F16</f>
        <v>0.39688907073477242</v>
      </c>
      <c r="O16" s="15">
        <f>+F16-M16</f>
        <v>247492420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+april!I18</f>
        <v>92521000</v>
      </c>
      <c r="H18" s="79">
        <f>8600000+18800000+10045000</f>
        <v>37445000</v>
      </c>
      <c r="I18" s="15">
        <f>+G18+H18</f>
        <v>129966000</v>
      </c>
      <c r="J18" s="143">
        <f>+I18/F18</f>
        <v>0.30349748591636783</v>
      </c>
      <c r="K18" s="80">
        <f>+april!M18</f>
        <v>65641000</v>
      </c>
      <c r="L18" s="80">
        <f>8600000+18800000+36925000</f>
        <v>64325000</v>
      </c>
      <c r="M18" s="80">
        <f>+K18+L18</f>
        <v>129966000</v>
      </c>
      <c r="N18" s="171">
        <f>+M18/F18</f>
        <v>0.30349748591636783</v>
      </c>
      <c r="O18" s="15">
        <f>+F18-M18</f>
        <v>298261600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+april!I20</f>
        <v>4394400</v>
      </c>
      <c r="H20" s="79">
        <v>0</v>
      </c>
      <c r="I20" s="15">
        <f>+G20+H20</f>
        <v>4394400</v>
      </c>
      <c r="J20" s="143">
        <f>+I20/F20</f>
        <v>5.1698823529411762E-2</v>
      </c>
      <c r="K20" s="80">
        <f>+april!M20</f>
        <v>4394400</v>
      </c>
      <c r="L20" s="80">
        <v>0</v>
      </c>
      <c r="M20" s="80">
        <f>+K20+L20</f>
        <v>4394400</v>
      </c>
      <c r="N20" s="171">
        <f>+M20/F20</f>
        <v>5.1698823529411762E-2</v>
      </c>
      <c r="O20" s="15">
        <f>+F20-M20</f>
        <v>80605600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219840640</v>
      </c>
      <c r="H22" s="224">
        <f>+H16+H20+H18</f>
        <v>77387040</v>
      </c>
      <c r="I22" s="141">
        <f>+G22+H22</f>
        <v>297227680</v>
      </c>
      <c r="J22" s="233">
        <f>+I22/F22</f>
        <v>0.3218187170828356</v>
      </c>
      <c r="K22" s="224">
        <f t="shared" ref="K22:L22" si="7">+K16+K20+K18</f>
        <v>192503820</v>
      </c>
      <c r="L22" s="224">
        <f t="shared" si="7"/>
        <v>104723860</v>
      </c>
      <c r="M22" s="232">
        <f>+K22+L22</f>
        <v>297227680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120668600</v>
      </c>
      <c r="H24" s="178">
        <f>+H26</f>
        <v>53246400</v>
      </c>
      <c r="I24" s="10">
        <f>+G24+H24</f>
        <v>173915000</v>
      </c>
      <c r="J24" s="168">
        <f>+I24/F24</f>
        <v>0.8791800419583955</v>
      </c>
      <c r="K24" s="178">
        <f>+K26</f>
        <v>120668600</v>
      </c>
      <c r="L24" s="178">
        <f t="shared" ref="L24:M24" si="9">+L26</f>
        <v>52266400</v>
      </c>
      <c r="M24" s="178">
        <f t="shared" si="9"/>
        <v>172935000</v>
      </c>
      <c r="N24" s="169">
        <f>+M24/F24</f>
        <v>0.87422591815585271</v>
      </c>
      <c r="O24" s="10">
        <f t="shared" ref="O24" si="10">+D24-M24</f>
        <v>24880000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+april!I26</f>
        <v>120668600</v>
      </c>
      <c r="H26" s="79">
        <f>10000000+30000000+10500000+2746400</f>
        <v>53246400</v>
      </c>
      <c r="I26" s="15">
        <f>+G26+H26</f>
        <v>173915000</v>
      </c>
      <c r="J26" s="143">
        <f>+I26/F26</f>
        <v>0.8791800419583955</v>
      </c>
      <c r="K26" s="80">
        <f>+april!M26</f>
        <v>120668600</v>
      </c>
      <c r="L26" s="80">
        <f>10000000+30000000+10500000+1766400</f>
        <v>52266400</v>
      </c>
      <c r="M26" s="80">
        <f>+K26+L26</f>
        <v>172935000</v>
      </c>
      <c r="N26" s="171">
        <f>+M26/F26</f>
        <v>0.87422591815585271</v>
      </c>
      <c r="O26" s="15">
        <f>+F26-M26</f>
        <v>24880000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120668600</v>
      </c>
      <c r="H28" s="224">
        <f t="shared" si="14"/>
        <v>53246400</v>
      </c>
      <c r="I28" s="232">
        <f>+G28+H28</f>
        <v>173915000</v>
      </c>
      <c r="J28" s="233">
        <f>+I28/F28</f>
        <v>0.8791800419583955</v>
      </c>
      <c r="K28" s="224">
        <f t="shared" ref="K28:L28" si="15">+K26</f>
        <v>120668600</v>
      </c>
      <c r="L28" s="224">
        <f t="shared" si="15"/>
        <v>52266400</v>
      </c>
      <c r="M28" s="232">
        <f>+K28+L28</f>
        <v>172935000</v>
      </c>
      <c r="N28" s="173">
        <f>+M28/F28</f>
        <v>0.87422591815585271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340509240</v>
      </c>
      <c r="H30" s="364">
        <f t="shared" si="16"/>
        <v>130633440</v>
      </c>
      <c r="I30" s="364">
        <f>+G30+H30</f>
        <v>471142680</v>
      </c>
      <c r="J30" s="368">
        <f>+I30/F30</f>
        <v>0.42013707302009279</v>
      </c>
      <c r="K30" s="364">
        <f t="shared" ref="K30:L30" si="17">K12</f>
        <v>313172420</v>
      </c>
      <c r="L30" s="364">
        <f t="shared" si="17"/>
        <v>156990260</v>
      </c>
      <c r="M30" s="364">
        <f>+K30+L30</f>
        <v>470162680</v>
      </c>
      <c r="N30" s="366">
        <f>+M30/F30</f>
        <v>0.41926316719699969</v>
      </c>
      <c r="O30" s="364">
        <f>+F30-M30</f>
        <v>651239620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61575000</v>
      </c>
      <c r="H35" s="11">
        <f t="shared" si="19"/>
        <v>39195500</v>
      </c>
      <c r="I35" s="10">
        <f>+G35+H35</f>
        <v>100770500</v>
      </c>
      <c r="J35" s="168">
        <f>+I35/F35</f>
        <v>0.15291426403641881</v>
      </c>
      <c r="K35" s="10">
        <f t="shared" ref="K35:L35" si="20">K45</f>
        <v>60320500</v>
      </c>
      <c r="L35" s="10">
        <f t="shared" si="20"/>
        <v>38422250</v>
      </c>
      <c r="M35" s="10">
        <f>+K35+L35</f>
        <v>98742750</v>
      </c>
      <c r="N35" s="169">
        <f>+M35/F35</f>
        <v>0.14983725341426404</v>
      </c>
      <c r="O35" s="10">
        <f>+F35-M35</f>
        <v>560257250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61575000</v>
      </c>
      <c r="H37" s="194">
        <f>+H39+H41+H43</f>
        <v>39195500</v>
      </c>
      <c r="I37" s="180">
        <f>+G37+H37</f>
        <v>100770500</v>
      </c>
      <c r="J37" s="168">
        <f>+I37/F37</f>
        <v>0.15291426403641881</v>
      </c>
      <c r="K37" s="194">
        <f>+K39+K41+K43</f>
        <v>60320500</v>
      </c>
      <c r="L37" s="194">
        <f>+L39+L41+L43</f>
        <v>38422250</v>
      </c>
      <c r="M37" s="180">
        <f>+K37+L37</f>
        <v>98742750</v>
      </c>
      <c r="N37" s="169">
        <f>+M37/F37</f>
        <v>0.14983725341426404</v>
      </c>
      <c r="O37" s="10">
        <f>+F37-M37</f>
        <v>560257250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+april!I39</f>
        <v>30100000</v>
      </c>
      <c r="H39" s="79">
        <f>15750000+17750000</f>
        <v>33500000</v>
      </c>
      <c r="I39" s="80">
        <f>+G39+H39</f>
        <v>63600000</v>
      </c>
      <c r="J39" s="143">
        <f>+I39/F39</f>
        <v>0.39750000000000002</v>
      </c>
      <c r="K39" s="80">
        <f>+april!M39</f>
        <v>29695500</v>
      </c>
      <c r="L39" s="80">
        <f>15750000+17118750</f>
        <v>32868750</v>
      </c>
      <c r="M39" s="80">
        <f>+K39+L39</f>
        <v>62564250</v>
      </c>
      <c r="N39" s="171">
        <f>+M39/F39</f>
        <v>0.39102656250000001</v>
      </c>
      <c r="O39" s="15">
        <f>+F39-M39</f>
        <v>97435750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+april!I41</f>
        <v>30825000</v>
      </c>
      <c r="H41" s="30">
        <v>3780000</v>
      </c>
      <c r="I41" s="80">
        <f>+G41+H41</f>
        <v>34605000</v>
      </c>
      <c r="J41" s="143">
        <f>+I41/F41</f>
        <v>0.10847962382445141</v>
      </c>
      <c r="K41" s="80">
        <f>+april!M41</f>
        <v>29975000</v>
      </c>
      <c r="L41" s="15">
        <v>4582000</v>
      </c>
      <c r="M41" s="80">
        <f>+K41+L41</f>
        <v>34557000</v>
      </c>
      <c r="N41" s="171">
        <f>+M41/F41</f>
        <v>0.10832915360501567</v>
      </c>
      <c r="O41" s="15">
        <f>+F41-M41</f>
        <v>284443000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13">
        <v>180000000</v>
      </c>
      <c r="E43" s="14"/>
      <c r="F43" s="13">
        <f>+D43+E43</f>
        <v>180000000</v>
      </c>
      <c r="G43" s="80">
        <f>+april!I43</f>
        <v>650000</v>
      </c>
      <c r="H43" s="79">
        <v>1915500</v>
      </c>
      <c r="I43" s="80">
        <f>+G43+H43</f>
        <v>2565500</v>
      </c>
      <c r="J43" s="143">
        <f>+I43/F43</f>
        <v>1.4252777777777777E-2</v>
      </c>
      <c r="K43" s="80">
        <f>+april!M43</f>
        <v>650000</v>
      </c>
      <c r="L43" s="80">
        <v>971500</v>
      </c>
      <c r="M43" s="80">
        <f>+K43+L43</f>
        <v>1621500</v>
      </c>
      <c r="N43" s="171">
        <f>+M43/F43</f>
        <v>9.0083333333333335E-3</v>
      </c>
      <c r="O43" s="15">
        <f>+F43-M43</f>
        <v>178378500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61575000</v>
      </c>
      <c r="H45" s="10">
        <f>SUM(H39:H43)</f>
        <v>39195500</v>
      </c>
      <c r="I45" s="10">
        <f>+G45+H45</f>
        <v>100770500</v>
      </c>
      <c r="J45" s="168">
        <f>+I45/F45</f>
        <v>0.15291426403641881</v>
      </c>
      <c r="K45" s="10">
        <f>SUM(K39:K43)</f>
        <v>60320500</v>
      </c>
      <c r="L45" s="10">
        <f>SUM(L39:L43)</f>
        <v>38422250</v>
      </c>
      <c r="M45" s="10">
        <f>+K45+L45</f>
        <v>98742750</v>
      </c>
      <c r="N45" s="169">
        <f>+M45/F45</f>
        <v>0.14983725341426404</v>
      </c>
      <c r="O45" s="10">
        <f>+D45-M45</f>
        <v>560257250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61575000</v>
      </c>
      <c r="H47" s="387">
        <f t="shared" si="23"/>
        <v>39195500</v>
      </c>
      <c r="I47" s="387">
        <f>+G47+H47</f>
        <v>100770500</v>
      </c>
      <c r="J47" s="397">
        <f>+I47/F47</f>
        <v>0.15291426403641881</v>
      </c>
      <c r="K47" s="387">
        <f t="shared" ref="K47:M47" si="24">K45</f>
        <v>60320500</v>
      </c>
      <c r="L47" s="387">
        <f t="shared" si="24"/>
        <v>38422250</v>
      </c>
      <c r="M47" s="387">
        <f t="shared" si="24"/>
        <v>98742750</v>
      </c>
      <c r="N47" s="394">
        <f>+M47/F47</f>
        <v>0.14983725341426404</v>
      </c>
      <c r="O47" s="387">
        <f>+F47-M47</f>
        <v>560257250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5290824500</v>
      </c>
      <c r="H52" s="10">
        <f t="shared" si="26"/>
        <v>881340000</v>
      </c>
      <c r="I52" s="10">
        <f>+G52+H52</f>
        <v>6172164500</v>
      </c>
      <c r="J52" s="168">
        <f>+I52/F52</f>
        <v>0.34342757783935818</v>
      </c>
      <c r="K52" s="312">
        <f t="shared" ref="K52:L52" si="27">+K62</f>
        <v>5288897000</v>
      </c>
      <c r="L52" s="10">
        <f t="shared" si="27"/>
        <v>882613000</v>
      </c>
      <c r="M52" s="10">
        <f>+K52+L52</f>
        <v>6171510000</v>
      </c>
      <c r="N52" s="169">
        <f>+M52/F52</f>
        <v>0.34339116057444308</v>
      </c>
      <c r="O52" s="10">
        <f>+F52-M52</f>
        <v>11800734800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80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5290824500</v>
      </c>
      <c r="H54" s="178">
        <f t="shared" si="28"/>
        <v>881340000</v>
      </c>
      <c r="I54" s="10">
        <f>+G54+H54</f>
        <v>6172164500</v>
      </c>
      <c r="J54" s="168">
        <f>+I54/F54</f>
        <v>0.34342757783935818</v>
      </c>
      <c r="K54" s="314">
        <f>SUM(K56:K60)</f>
        <v>5288897000</v>
      </c>
      <c r="L54" s="180">
        <f>SUM(L56:L60)</f>
        <v>882613000</v>
      </c>
      <c r="M54" s="180">
        <f>+K54+L54</f>
        <v>6171510000</v>
      </c>
      <c r="N54" s="169">
        <f>+M54/F54</f>
        <v>0.34339116057444308</v>
      </c>
      <c r="O54" s="10">
        <f>+F54-M54</f>
        <v>11800734800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+april!I56</f>
        <v>3320509500</v>
      </c>
      <c r="H56" s="79">
        <f>19500000+62400000+96000000+18000000+41914000+211850000+49000000</f>
        <v>498664000</v>
      </c>
      <c r="I56" s="15">
        <f>+G56+H56</f>
        <v>3819173500</v>
      </c>
      <c r="J56" s="143">
        <f>+I56/F56</f>
        <v>0.27018462095382156</v>
      </c>
      <c r="K56" s="315">
        <f>+april!M56</f>
        <v>3318709500</v>
      </c>
      <c r="L56" s="80">
        <f>19500000+62400000+96000000+211850000+49000000+61559500</f>
        <v>500309500</v>
      </c>
      <c r="M56" s="80">
        <f>+K56+L56</f>
        <v>3819019000</v>
      </c>
      <c r="N56" s="171">
        <f>+M56/F56</f>
        <v>0.27017369096492805</v>
      </c>
      <c r="O56" s="15">
        <f>+F56-M56</f>
        <v>10316402500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+april!I58</f>
        <v>1558000000</v>
      </c>
      <c r="H58" s="79">
        <f>120000000+61500000+73000000+24600000+20500000+41000000</f>
        <v>340600000</v>
      </c>
      <c r="I58" s="15">
        <f>+G58+H58</f>
        <v>1898600000</v>
      </c>
      <c r="J58" s="143">
        <f>+I58/F58</f>
        <v>0.67025735291132493</v>
      </c>
      <c r="K58" s="315">
        <f>+april!M58</f>
        <v>1558000000</v>
      </c>
      <c r="L58" s="80">
        <f>120000000+61500000+73000000+24600000+20500000+41000000</f>
        <v>340600000</v>
      </c>
      <c r="M58" s="80">
        <f>+K58+L58</f>
        <v>1898600000</v>
      </c>
      <c r="N58" s="171">
        <f>+M58/F58</f>
        <v>0.67025735291132493</v>
      </c>
      <c r="O58" s="15">
        <f>+F58-M58</f>
        <v>934043300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+april!I60</f>
        <v>412315000</v>
      </c>
      <c r="H60" s="79">
        <f>15000000+27076000</f>
        <v>42076000</v>
      </c>
      <c r="I60" s="15">
        <f>+G60+H60</f>
        <v>454391000</v>
      </c>
      <c r="J60" s="143">
        <f>+I60/F60</f>
        <v>0.45249955187317015</v>
      </c>
      <c r="K60" s="80">
        <f>+april!M60</f>
        <v>412187500</v>
      </c>
      <c r="L60" s="80">
        <f>15000000+26703500</f>
        <v>41703500</v>
      </c>
      <c r="M60" s="80">
        <f>+K60+L60</f>
        <v>453891000</v>
      </c>
      <c r="N60" s="171">
        <f>+M60/F60</f>
        <v>0.45200163317333547</v>
      </c>
      <c r="O60" s="15">
        <f>+F60-M60</f>
        <v>550289000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5290824500</v>
      </c>
      <c r="H62" s="364">
        <f>SUM(H56:H60)</f>
        <v>881340000</v>
      </c>
      <c r="I62" s="364">
        <f>H62+G62</f>
        <v>6172164500</v>
      </c>
      <c r="J62" s="368">
        <f>+I62/F62</f>
        <v>0.34342757783935818</v>
      </c>
      <c r="K62" s="455">
        <f>SUM(K56:K60)</f>
        <v>5288897000</v>
      </c>
      <c r="L62" s="364">
        <f>SUM(L56:L60)</f>
        <v>882613000</v>
      </c>
      <c r="M62" s="364">
        <f>K62+L62</f>
        <v>6171510000</v>
      </c>
      <c r="N62" s="366">
        <f>+M62/F62</f>
        <v>0.34339116057444308</v>
      </c>
      <c r="O62" s="364">
        <f>+F62-M62</f>
        <v>11800734800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365"/>
      <c r="J63" s="369"/>
      <c r="K63" s="464"/>
      <c r="L63" s="365"/>
      <c r="M63" s="365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7.100000000000001" customHeight="1" x14ac:dyDescent="0.2">
      <c r="A67" s="74"/>
      <c r="B67" s="217" t="s">
        <v>158</v>
      </c>
      <c r="C67" s="33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239">
        <f t="shared" ref="G67" si="33">+G77</f>
        <v>67855250</v>
      </c>
      <c r="H67" s="239">
        <f>+H77</f>
        <v>2225479500</v>
      </c>
      <c r="I67" s="10">
        <f>+G67+H67</f>
        <v>2293334750</v>
      </c>
      <c r="J67" s="168">
        <f>+I67/F67</f>
        <v>0.37994689306627721</v>
      </c>
      <c r="K67" s="180">
        <f>+K77</f>
        <v>65984756</v>
      </c>
      <c r="L67" s="180">
        <f>+L77</f>
        <v>2222782900</v>
      </c>
      <c r="M67" s="180">
        <f>+K67+L67</f>
        <v>2288767656</v>
      </c>
      <c r="N67" s="169">
        <f>+M67/F67</f>
        <v>0.37919024243965516</v>
      </c>
      <c r="O67" s="10">
        <f>+F67-M67</f>
        <v>3747167344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180">
        <f>SUM(G71:G75)</f>
        <v>67855250</v>
      </c>
      <c r="H69" s="180">
        <f>SUM(H71:H75)</f>
        <v>2225479500</v>
      </c>
      <c r="I69" s="180">
        <f>+G69+H69</f>
        <v>2293334750</v>
      </c>
      <c r="J69" s="168">
        <f>+I69/F69</f>
        <v>0.37994689306627721</v>
      </c>
      <c r="K69" s="180">
        <f>SUM(K71:K75)</f>
        <v>65984756</v>
      </c>
      <c r="L69" s="180">
        <f>SUM(L71:L75)</f>
        <v>2222782900</v>
      </c>
      <c r="M69" s="180">
        <f>+K69+L69</f>
        <v>2288767656</v>
      </c>
      <c r="N69" s="169">
        <f>+M69/F69</f>
        <v>0.37919024243965516</v>
      </c>
      <c r="O69" s="10">
        <f>+F69-M69</f>
        <v>3747167344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+april!I71</f>
        <v>17929000</v>
      </c>
      <c r="H71" s="79">
        <v>6500000</v>
      </c>
      <c r="I71" s="80">
        <f>+G71+H71</f>
        <v>24429000</v>
      </c>
      <c r="J71" s="143">
        <f>+I71/F71</f>
        <v>6.5370618142895368E-2</v>
      </c>
      <c r="K71" s="80">
        <f>+april!M71</f>
        <v>17459106</v>
      </c>
      <c r="L71" s="80">
        <v>5827000</v>
      </c>
      <c r="M71" s="80">
        <f>+K71+L71</f>
        <v>23286106</v>
      </c>
      <c r="N71" s="171">
        <f>+M71/F71</f>
        <v>6.231229863526893E-2</v>
      </c>
      <c r="O71" s="15">
        <f>+F71-M71</f>
        <v>350413894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+april!I73</f>
        <v>44166250</v>
      </c>
      <c r="H73" s="79">
        <f>10707000+2500000</f>
        <v>13207000</v>
      </c>
      <c r="I73" s="80">
        <f>+G73+H73</f>
        <v>57373250</v>
      </c>
      <c r="J73" s="143">
        <f>+I73/F73</f>
        <v>0.33481043461616572</v>
      </c>
      <c r="K73" s="80">
        <f>+april!M73</f>
        <v>42821050</v>
      </c>
      <c r="L73" s="80">
        <f>10707000+3476400</f>
        <v>14183400</v>
      </c>
      <c r="M73" s="80">
        <f>+K73+L73</f>
        <v>57004450</v>
      </c>
      <c r="N73" s="171">
        <f>+M73/F73</f>
        <v>0.33265824542893224</v>
      </c>
      <c r="O73" s="15">
        <f>+F73-M73</f>
        <v>114355950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80">
        <f>+april!I75</f>
        <v>5760000</v>
      </c>
      <c r="H75" s="79">
        <f>14940000+9400000+16932500+4500000+2160000000</f>
        <v>2205772500</v>
      </c>
      <c r="I75" s="80">
        <f>+G75+H75</f>
        <v>2211532500</v>
      </c>
      <c r="J75" s="143">
        <f>+I75/F75</f>
        <v>0.40276507134218653</v>
      </c>
      <c r="K75" s="80">
        <f>+april!M75</f>
        <v>5704600</v>
      </c>
      <c r="L75" s="80">
        <f>14940000+9400000+16932500+2160000000+1500000</f>
        <v>2202772500</v>
      </c>
      <c r="M75" s="80">
        <f>+K75+L75</f>
        <v>2208477100</v>
      </c>
      <c r="N75" s="171">
        <f>+M75/F75</f>
        <v>0.40220862082699904</v>
      </c>
      <c r="O75" s="15">
        <f>+F75-M75</f>
        <v>3282397500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364">
        <f>SUM(G71:G75)</f>
        <v>67855250</v>
      </c>
      <c r="H77" s="364">
        <f>SUM(H71:H75)</f>
        <v>2225479500</v>
      </c>
      <c r="I77" s="364">
        <f>+G77+H77</f>
        <v>2293334750</v>
      </c>
      <c r="J77" s="368">
        <f>+I77/F77</f>
        <v>0.37994689306627721</v>
      </c>
      <c r="K77" s="364">
        <f>SUM(K71:K75)</f>
        <v>65984756</v>
      </c>
      <c r="L77" s="364">
        <f>SUM(L71:L75)</f>
        <v>2222782900</v>
      </c>
      <c r="M77" s="364">
        <f>+K77+L77</f>
        <v>2288767656</v>
      </c>
      <c r="N77" s="366">
        <f>+M77/F77</f>
        <v>0.37919024243965516</v>
      </c>
      <c r="O77" s="364">
        <f>+F77-M77</f>
        <v>3747167344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396"/>
      <c r="G78" s="396"/>
      <c r="H78" s="396"/>
      <c r="I78" s="396"/>
      <c r="J78" s="369"/>
      <c r="K78" s="39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259793150</v>
      </c>
      <c r="H82" s="10">
        <f t="shared" si="40"/>
        <v>534000000</v>
      </c>
      <c r="I82" s="10">
        <f>+G82+H82</f>
        <v>793793150</v>
      </c>
      <c r="J82" s="168">
        <f>+I82/F82</f>
        <v>0.3594775421169864</v>
      </c>
      <c r="K82" s="10">
        <f t="shared" ref="K82:L82" si="41">+K83+K93</f>
        <v>247012949</v>
      </c>
      <c r="L82" s="10">
        <f t="shared" si="41"/>
        <v>526645900</v>
      </c>
      <c r="M82" s="10">
        <f>+K82+L82</f>
        <v>773658849</v>
      </c>
      <c r="N82" s="169">
        <f>+M82/F82</f>
        <v>0.35035951302373514</v>
      </c>
      <c r="O82" s="10">
        <f>+F82-M82</f>
        <v>1434526801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>+G91</f>
        <v>237576250</v>
      </c>
      <c r="H83" s="10">
        <f>+H91</f>
        <v>519000000</v>
      </c>
      <c r="I83" s="180">
        <f>+G83+H83</f>
        <v>756576250</v>
      </c>
      <c r="J83" s="168">
        <f>+I83/F83</f>
        <v>0.40267363783356275</v>
      </c>
      <c r="K83" s="10">
        <f>+K91</f>
        <v>228362999</v>
      </c>
      <c r="L83" s="10">
        <f>+L91</f>
        <v>519748300</v>
      </c>
      <c r="M83" s="180">
        <f>+K83+L83</f>
        <v>748111299</v>
      </c>
      <c r="N83" s="169">
        <f>+M83/F83</f>
        <v>0.39816832509971356</v>
      </c>
      <c r="O83" s="10">
        <f>+O91+O96</f>
        <v>3313408801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284">
        <f>+april!I85</f>
        <v>45000000</v>
      </c>
      <c r="H85" s="285">
        <v>0</v>
      </c>
      <c r="I85" s="284">
        <f>G85+H85</f>
        <v>45000000</v>
      </c>
      <c r="J85" s="287">
        <f>+I85/F85</f>
        <v>0.16376028551059912</v>
      </c>
      <c r="K85" s="80">
        <f>+april!M85</f>
        <v>41800000</v>
      </c>
      <c r="L85" s="284">
        <v>0</v>
      </c>
      <c r="M85" s="284">
        <f>K85+L85</f>
        <v>41800000</v>
      </c>
      <c r="N85" s="288">
        <f>+M85/F85</f>
        <v>0.15211510965206762</v>
      </c>
      <c r="O85" s="286">
        <f>+F85-M85</f>
        <v>232991900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+april!I87</f>
        <v>147821400</v>
      </c>
      <c r="H87" s="79">
        <v>494000000</v>
      </c>
      <c r="I87" s="284">
        <f>G87+H87</f>
        <v>641821400</v>
      </c>
      <c r="J87" s="143"/>
      <c r="K87" s="80">
        <f>+april!M87</f>
        <v>143891000</v>
      </c>
      <c r="L87" s="80">
        <f>494000000+2169500</f>
        <v>496169500</v>
      </c>
      <c r="M87" s="80">
        <f>+K87+L87</f>
        <v>640060500</v>
      </c>
      <c r="N87" s="171">
        <f>+M87/F87</f>
        <v>0.98431261643394485</v>
      </c>
      <c r="O87" s="286">
        <f>+F87-M87</f>
        <v>10200900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2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+april!I89</f>
        <v>44754850</v>
      </c>
      <c r="H89" s="79">
        <v>25000000</v>
      </c>
      <c r="I89" s="15">
        <f>+G89+H89</f>
        <v>69754850</v>
      </c>
      <c r="J89" s="143">
        <f>+I89/F89</f>
        <v>7.3131422864503873E-2</v>
      </c>
      <c r="K89" s="80">
        <f>+april!M89</f>
        <v>42671999</v>
      </c>
      <c r="L89" s="80">
        <v>23578800</v>
      </c>
      <c r="M89" s="80">
        <f>+K89+L89</f>
        <v>66250799</v>
      </c>
      <c r="N89" s="171">
        <f>+M89/F89</f>
        <v>6.9457753787446314E-2</v>
      </c>
      <c r="O89" s="15">
        <f>+F89-M89</f>
        <v>887577901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3">SUM(G85:G90)</f>
        <v>237576250</v>
      </c>
      <c r="H91" s="141">
        <f t="shared" si="43"/>
        <v>519000000</v>
      </c>
      <c r="I91" s="232">
        <f>+G91+H91</f>
        <v>756576250</v>
      </c>
      <c r="J91" s="176">
        <f>+I91/F91</f>
        <v>0.40267363783356275</v>
      </c>
      <c r="K91" s="141">
        <f t="shared" ref="K91" si="44">SUM(K85:K90)</f>
        <v>228362999</v>
      </c>
      <c r="L91" s="141">
        <f>SUM(L85:L90)</f>
        <v>519748300</v>
      </c>
      <c r="M91" s="232">
        <f>+K91+L91</f>
        <v>748111299</v>
      </c>
      <c r="N91" s="173">
        <f>+M91/F91</f>
        <v>0.39816832509971356</v>
      </c>
      <c r="O91" s="141">
        <f>SUM(O85:O90)</f>
        <v>1130770701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22216900</v>
      </c>
      <c r="H93" s="10">
        <f t="shared" si="45"/>
        <v>15000000</v>
      </c>
      <c r="I93" s="180">
        <f>+G93+H93</f>
        <v>37216900</v>
      </c>
      <c r="J93" s="168">
        <f>+I93/F93</f>
        <v>0.11301696777427156</v>
      </c>
      <c r="K93" s="10">
        <f t="shared" ref="K93:L93" si="46">+K95</f>
        <v>18649950</v>
      </c>
      <c r="L93" s="10">
        <f t="shared" si="46"/>
        <v>6897600</v>
      </c>
      <c r="M93" s="180">
        <f>+K93+L93</f>
        <v>25547550</v>
      </c>
      <c r="N93" s="169">
        <f>+M93/F93</f>
        <v>7.7580524843863713E-2</v>
      </c>
      <c r="O93" s="10">
        <f>+F93-M93</f>
        <v>303756100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>
        <v>-36639150</v>
      </c>
      <c r="F95" s="13">
        <f>+D95+E95</f>
        <v>329303650</v>
      </c>
      <c r="G95" s="80">
        <f>+april!I95</f>
        <v>22216900</v>
      </c>
      <c r="H95" s="79">
        <v>15000000</v>
      </c>
      <c r="I95" s="15">
        <f>+G95+H95</f>
        <v>37216900</v>
      </c>
      <c r="J95" s="143">
        <f>+I95/F95</f>
        <v>0.11301696777427156</v>
      </c>
      <c r="K95" s="80">
        <f>+april!M95</f>
        <v>18649950</v>
      </c>
      <c r="L95" s="80">
        <v>6897600</v>
      </c>
      <c r="M95" s="80">
        <f>+K95+L95</f>
        <v>25547550</v>
      </c>
      <c r="N95" s="171">
        <f>+M95/F95</f>
        <v>7.7580524843863713E-2</v>
      </c>
      <c r="O95" s="15">
        <f>+F95-M95</f>
        <v>303756100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22216900</v>
      </c>
      <c r="H96" s="10">
        <f t="shared" si="48"/>
        <v>15000000</v>
      </c>
      <c r="I96" s="180">
        <f>+G96+H96</f>
        <v>37216900</v>
      </c>
      <c r="J96" s="168">
        <f>+I96/F96</f>
        <v>1.6854062972467918E-2</v>
      </c>
      <c r="K96" s="10">
        <f t="shared" ref="K96:L96" si="49">+K95</f>
        <v>18649950</v>
      </c>
      <c r="L96" s="10">
        <f t="shared" si="49"/>
        <v>6897600</v>
      </c>
      <c r="M96" s="180">
        <f>+K96+L96</f>
        <v>25547550</v>
      </c>
      <c r="N96" s="169">
        <f>+M96/F96</f>
        <v>1.1569475600930565E-2</v>
      </c>
      <c r="O96" s="10">
        <f>+F96-M96</f>
        <v>2182638100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362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364">
        <f t="shared" si="50"/>
        <v>259793150</v>
      </c>
      <c r="H98" s="364">
        <f t="shared" si="50"/>
        <v>534000000</v>
      </c>
      <c r="I98" s="364">
        <f t="shared" si="50"/>
        <v>793793150</v>
      </c>
      <c r="J98" s="398">
        <f>+I98/F98</f>
        <v>0.3594775421169864</v>
      </c>
      <c r="K98" s="364">
        <f t="shared" ref="K98:L98" si="51">+K83+K93</f>
        <v>247012949</v>
      </c>
      <c r="L98" s="364">
        <f t="shared" si="51"/>
        <v>526645900</v>
      </c>
      <c r="M98" s="364">
        <f>+K98+L98</f>
        <v>773658849</v>
      </c>
      <c r="N98" s="366">
        <f>+M98/F98</f>
        <v>0.35035951302373514</v>
      </c>
      <c r="O98" s="364">
        <f>+F98-M98</f>
        <v>1434526801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83812328</v>
      </c>
      <c r="H103" s="10">
        <f t="shared" si="54"/>
        <v>98187975</v>
      </c>
      <c r="I103" s="10">
        <f>+G103+H103</f>
        <v>182000303</v>
      </c>
      <c r="J103" s="168">
        <f>+I103/F103</f>
        <v>7.5128804612306505E-2</v>
      </c>
      <c r="K103" s="10">
        <f t="shared" ref="K103:L103" si="55">+K113</f>
        <v>77186948</v>
      </c>
      <c r="L103" s="10">
        <f t="shared" si="55"/>
        <v>98187975</v>
      </c>
      <c r="M103" s="10">
        <f>+K103+L103</f>
        <v>175374923</v>
      </c>
      <c r="N103" s="169">
        <f>+M103/D103</f>
        <v>7.2393881256149872E-2</v>
      </c>
      <c r="O103" s="10">
        <f>+F103-M103</f>
        <v>2247135377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SUM(G107:G111)</f>
        <v>83812328</v>
      </c>
      <c r="H105" s="79">
        <f>SUM(H107:H111)</f>
        <v>98187975</v>
      </c>
      <c r="I105" s="15">
        <f>+G105+H105</f>
        <v>182000303</v>
      </c>
      <c r="J105" s="143">
        <f>+I105/F105</f>
        <v>7.5128804612306505E-2</v>
      </c>
      <c r="K105" s="80">
        <f>SUM(K107:K111)</f>
        <v>77186948</v>
      </c>
      <c r="L105" s="79">
        <f>SUM(L107:L111)</f>
        <v>98187975</v>
      </c>
      <c r="M105" s="80">
        <f>+K105+L105</f>
        <v>175374923</v>
      </c>
      <c r="N105" s="171">
        <f>+M105/F105</f>
        <v>7.2393881256149872E-2</v>
      </c>
      <c r="O105" s="15">
        <f>+F105-M105</f>
        <v>2247135377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+april!I107</f>
        <v>38689078</v>
      </c>
      <c r="H107" s="79">
        <v>98187975</v>
      </c>
      <c r="I107" s="15">
        <f>+G107+H107</f>
        <v>136877053</v>
      </c>
      <c r="J107" s="143">
        <f>+I107/F107</f>
        <v>6.0465027508469174E-2</v>
      </c>
      <c r="K107" s="80">
        <f>+april!M107</f>
        <v>38061648</v>
      </c>
      <c r="L107" s="80">
        <v>98187975</v>
      </c>
      <c r="M107" s="80">
        <f>+K107+L107</f>
        <v>136249623</v>
      </c>
      <c r="N107" s="171">
        <f>+M107/F107</f>
        <v>6.0187862188365159E-2</v>
      </c>
      <c r="O107" s="15">
        <f>+F107-M107</f>
        <v>2127489577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+april!I109</f>
        <v>19191000</v>
      </c>
      <c r="H109" s="79">
        <v>0</v>
      </c>
      <c r="I109" s="15">
        <f>+G109+H109</f>
        <v>19191000</v>
      </c>
      <c r="J109" s="143">
        <f>+I109/F109</f>
        <v>0.23527868466575372</v>
      </c>
      <c r="K109" s="80">
        <f>+april!M109</f>
        <v>19191000</v>
      </c>
      <c r="L109" s="80">
        <v>0</v>
      </c>
      <c r="M109" s="80">
        <f>+K109+L109</f>
        <v>19191000</v>
      </c>
      <c r="N109" s="171">
        <f>+M109/F109</f>
        <v>0.23527868466575372</v>
      </c>
      <c r="O109" s="15">
        <f>+F109-M109</f>
        <v>62376100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4.1" customHeight="1" x14ac:dyDescent="0.2">
      <c r="A111" s="74">
        <v>3</v>
      </c>
      <c r="B111" s="75" t="s">
        <v>257</v>
      </c>
      <c r="C111" s="27" t="s">
        <v>259</v>
      </c>
      <c r="D111" s="13">
        <v>77204000</v>
      </c>
      <c r="E111" s="14"/>
      <c r="F111" s="13">
        <f>+D111+E111</f>
        <v>77204000</v>
      </c>
      <c r="G111" s="80">
        <f>+april!I111</f>
        <v>25932250</v>
      </c>
      <c r="H111" s="79">
        <v>0</v>
      </c>
      <c r="I111" s="15">
        <f>+G111+H111</f>
        <v>25932250</v>
      </c>
      <c r="J111" s="143">
        <f>+I111/F111</f>
        <v>0.33589257033314335</v>
      </c>
      <c r="K111" s="80">
        <f>+april!M111</f>
        <v>19934300</v>
      </c>
      <c r="L111" s="80">
        <v>0</v>
      </c>
      <c r="M111" s="80">
        <f>+K111+L111</f>
        <v>19934300</v>
      </c>
      <c r="N111" s="171">
        <f>+M111/F111</f>
        <v>0.25820294285270196</v>
      </c>
      <c r="O111" s="15">
        <f>+F111-M111</f>
        <v>57269700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83812328</v>
      </c>
      <c r="H113" s="364">
        <f>SUM(H107:H111)</f>
        <v>98187975</v>
      </c>
      <c r="I113" s="364">
        <f>+G113+H113</f>
        <v>182000303</v>
      </c>
      <c r="J113" s="398">
        <f>+I113/F113</f>
        <v>7.5128804612306505E-2</v>
      </c>
      <c r="K113" s="364">
        <f>SUM(K107:K111)</f>
        <v>77186948</v>
      </c>
      <c r="L113" s="364">
        <f>SUM(L107:L111)</f>
        <v>98187975</v>
      </c>
      <c r="M113" s="364">
        <f>+K113+L113</f>
        <v>175374923</v>
      </c>
      <c r="N113" s="366">
        <f>+M113/F113</f>
        <v>7.2393881256149872E-2</v>
      </c>
      <c r="O113" s="364">
        <f>+F113-M113</f>
        <v>2247135377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244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260514000</v>
      </c>
      <c r="H118" s="10">
        <f t="shared" si="63"/>
        <v>85732650</v>
      </c>
      <c r="I118" s="10">
        <f>+G118+H118</f>
        <v>346246650</v>
      </c>
      <c r="J118" s="168">
        <f>+I118/F118</f>
        <v>0.30982019159555496</v>
      </c>
      <c r="K118" s="10">
        <f t="shared" ref="K118:L118" si="64">+K126</f>
        <v>258513500</v>
      </c>
      <c r="L118" s="10">
        <f t="shared" si="64"/>
        <v>87675650</v>
      </c>
      <c r="M118" s="10">
        <f>+K118+L118</f>
        <v>346189150</v>
      </c>
      <c r="N118" s="169">
        <f>+M118/D118</f>
        <v>0.30976874081323913</v>
      </c>
      <c r="O118" s="10">
        <f>+F118-M118</f>
        <v>771383750</v>
      </c>
      <c r="P118" s="77"/>
      <c r="Q118" s="6" t="str">
        <f t="shared" ref="Q118:Q150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+april!I120</f>
        <v>197260000</v>
      </c>
      <c r="H120" s="79">
        <f>10599550+11930100+35700000+2750000</f>
        <v>60979650</v>
      </c>
      <c r="I120" s="80">
        <f t="shared" ref="I120" si="66">H120+G120</f>
        <v>258239650</v>
      </c>
      <c r="J120" s="143">
        <f>+I120/F120</f>
        <v>0.36583377886802737</v>
      </c>
      <c r="K120" s="80">
        <f>+april!M120</f>
        <v>197260000</v>
      </c>
      <c r="L120" s="80">
        <f>10599550+11930100+35700000+2750000</f>
        <v>60979650</v>
      </c>
      <c r="M120" s="80">
        <f t="shared" ref="M120" si="67">K120+L120</f>
        <v>258239650</v>
      </c>
      <c r="N120" s="171">
        <f>+M120/D120</f>
        <v>0.36583377886802737</v>
      </c>
      <c r="O120" s="15">
        <f>+F120-M120</f>
        <v>447653750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+april!I122</f>
        <v>11841000</v>
      </c>
      <c r="H122" s="79">
        <f>3945000+2540000</f>
        <v>6485000</v>
      </c>
      <c r="I122" s="15">
        <f>+G122+H122</f>
        <v>18326000</v>
      </c>
      <c r="J122" s="143">
        <f>+I122/F122</f>
        <v>0.11931999453078711</v>
      </c>
      <c r="K122" s="80">
        <f>+april!M122</f>
        <v>11841000</v>
      </c>
      <c r="L122" s="80">
        <f>3945000+2540000</f>
        <v>6485000</v>
      </c>
      <c r="M122" s="80">
        <f>+K122+L122</f>
        <v>18326000</v>
      </c>
      <c r="N122" s="171">
        <f>+M122/D122</f>
        <v>0.11931999453078711</v>
      </c>
      <c r="O122" s="15">
        <f>+F122-M122</f>
        <v>135261000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+april!I124</f>
        <v>51413000</v>
      </c>
      <c r="H124" s="79">
        <f>3825000+14443000</f>
        <v>18268000</v>
      </c>
      <c r="I124" s="15">
        <f>+G124+H124</f>
        <v>69681000</v>
      </c>
      <c r="J124" s="143">
        <f>+I124/F124</f>
        <v>0.26998459854509527</v>
      </c>
      <c r="K124" s="80">
        <f>+april!M124</f>
        <v>49412500</v>
      </c>
      <c r="L124" s="80">
        <f>3825000+16386000</f>
        <v>20211000</v>
      </c>
      <c r="M124" s="80">
        <f>+K124+L124</f>
        <v>69623500</v>
      </c>
      <c r="N124" s="171">
        <f>+M124/D124</f>
        <v>0.26976181020370604</v>
      </c>
      <c r="O124" s="15">
        <f>+F124-M124</f>
        <v>188469000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260514000</v>
      </c>
      <c r="H126" s="364">
        <f>SUM(H120:H124)</f>
        <v>85732650</v>
      </c>
      <c r="I126" s="364">
        <f>+G126+H126</f>
        <v>346246650</v>
      </c>
      <c r="J126" s="368">
        <f>+I126/F126</f>
        <v>0.30982019159555496</v>
      </c>
      <c r="K126" s="364">
        <f>SUM(K120:K124)</f>
        <v>258513500</v>
      </c>
      <c r="L126" s="364">
        <f>SUM(L120:L124)</f>
        <v>87675650</v>
      </c>
      <c r="M126" s="364">
        <f>+K126+L126</f>
        <v>346189150</v>
      </c>
      <c r="N126" s="366">
        <v>0</v>
      </c>
      <c r="O126" s="364">
        <f>+F126-M126</f>
        <v>771383750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312">
        <f>+G133+G140+G148+G154+G162+G169</f>
        <v>7306417084</v>
      </c>
      <c r="H131" s="10">
        <f>+H133+H140+H148+H154+H162+H169</f>
        <v>1786083702</v>
      </c>
      <c r="I131" s="10">
        <f>+G131+H131</f>
        <v>9092500786</v>
      </c>
      <c r="J131" s="168">
        <f>+I131/F131</f>
        <v>0.34981054364353587</v>
      </c>
      <c r="K131" s="312">
        <f>+K133+K140+K148+K154+K162+K169</f>
        <v>7306227384</v>
      </c>
      <c r="L131" s="10">
        <f>+L133+L140+L148+L154+L162+L169</f>
        <v>1786261702</v>
      </c>
      <c r="M131" s="10">
        <f>+K131+L131</f>
        <v>9092489086</v>
      </c>
      <c r="N131" s="169">
        <f>+M131/F131</f>
        <v>0.34981009351617742</v>
      </c>
      <c r="O131" s="10">
        <f>+F131-M131</f>
        <v>16900154507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2940000</v>
      </c>
      <c r="H133" s="178">
        <f t="shared" si="72"/>
        <v>4439000</v>
      </c>
      <c r="I133" s="10">
        <f>+G133+H133</f>
        <v>7379000</v>
      </c>
      <c r="J133" s="168">
        <f>+I133/F133</f>
        <v>0.28354050990412882</v>
      </c>
      <c r="K133" s="178">
        <f t="shared" ref="K133:L133" si="73">+K135+K137</f>
        <v>2940000</v>
      </c>
      <c r="L133" s="178">
        <f t="shared" si="73"/>
        <v>4439000</v>
      </c>
      <c r="M133" s="180">
        <f>+K133+L133</f>
        <v>7379000</v>
      </c>
      <c r="N133" s="169">
        <f>+M133/F133</f>
        <v>0.28354050990412882</v>
      </c>
      <c r="O133" s="10">
        <f>+F133-M133</f>
        <v>18645500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13">
        <v>11962500</v>
      </c>
      <c r="E135" s="14"/>
      <c r="F135" s="13">
        <f>E135+D135</f>
        <v>11962500</v>
      </c>
      <c r="G135" s="80">
        <f>+april!I135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+april!M135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+april!I137</f>
        <v>0</v>
      </c>
      <c r="H137" s="79">
        <f>3500000+939000</f>
        <v>4439000</v>
      </c>
      <c r="I137" s="15">
        <f>+G137+H137</f>
        <v>4439000</v>
      </c>
      <c r="J137" s="143">
        <f>+I137/F137</f>
        <v>0.31567344616697485</v>
      </c>
      <c r="K137" s="80">
        <f>+april!M137</f>
        <v>0</v>
      </c>
      <c r="L137" s="80">
        <f>3500000+939000</f>
        <v>4439000</v>
      </c>
      <c r="M137" s="80">
        <f>+K137+L137</f>
        <v>4439000</v>
      </c>
      <c r="N137" s="171">
        <f>+M137/F137</f>
        <v>0.31567344616697485</v>
      </c>
      <c r="O137" s="15">
        <f>+F137-M137</f>
        <v>9623000</v>
      </c>
      <c r="P137" s="77"/>
      <c r="Q137" s="6" t="str">
        <f t="shared" ref="Q137" si="76">IF(M137&lt;=I137,"OKE","Salah")</f>
        <v>OKE</v>
      </c>
      <c r="R137" s="6"/>
    </row>
    <row r="138" spans="1:23" ht="10.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2940000</v>
      </c>
      <c r="H139" s="141">
        <f>+H135+H137</f>
        <v>4439000</v>
      </c>
      <c r="I139" s="141">
        <f>+G139+H139</f>
        <v>7379000</v>
      </c>
      <c r="J139" s="233">
        <f>+I139/F139</f>
        <v>0.28354050990412882</v>
      </c>
      <c r="K139" s="141">
        <f>+K135+K137</f>
        <v>2940000</v>
      </c>
      <c r="L139" s="141">
        <f>+L135+L137</f>
        <v>4439000</v>
      </c>
      <c r="M139" s="232">
        <f>+K139+L139</f>
        <v>7379000</v>
      </c>
      <c r="N139" s="247">
        <f>+M139/F139</f>
        <v>0.28354050990412882</v>
      </c>
      <c r="O139" s="141"/>
      <c r="P139" s="83"/>
      <c r="Q139" s="6"/>
      <c r="R139" s="6"/>
    </row>
    <row r="140" spans="1:23" ht="17.100000000000001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6984810167</v>
      </c>
      <c r="H140" s="178">
        <f t="shared" si="77"/>
        <v>1667756735</v>
      </c>
      <c r="I140" s="10">
        <f>+G140+H140</f>
        <v>8652566902</v>
      </c>
      <c r="J140" s="168">
        <f>+I140/F140</f>
        <v>0.36250009431842267</v>
      </c>
      <c r="K140" s="314">
        <f t="shared" ref="K140:L140" si="78">SUM(K142:K146)</f>
        <v>6984620467</v>
      </c>
      <c r="L140" s="178">
        <f t="shared" si="78"/>
        <v>1667934735</v>
      </c>
      <c r="M140" s="180">
        <f>+K140+L140</f>
        <v>8652555202</v>
      </c>
      <c r="N140" s="169">
        <f>+M140/D140</f>
        <v>0.36249960414583554</v>
      </c>
      <c r="O140" s="10">
        <f>+F140-M140</f>
        <v>15216588662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+april!I142</f>
        <v>6976586067</v>
      </c>
      <c r="H142" s="79">
        <f>20629678+678822111+7740000+851020494+2533610+91478666+9050176</f>
        <v>1661274735</v>
      </c>
      <c r="I142" s="15">
        <f>+G142+H142</f>
        <v>8637860802</v>
      </c>
      <c r="J142" s="143">
        <f>+I142/F142</f>
        <v>0.36275069283365996</v>
      </c>
      <c r="K142" s="315">
        <f>+april!M142</f>
        <v>6976586067</v>
      </c>
      <c r="L142" s="80">
        <f>20629678+678822111+7740000+851020494+2533610+91478666+9050176</f>
        <v>1661274735</v>
      </c>
      <c r="M142" s="80">
        <f>+K142+L142</f>
        <v>8637860802</v>
      </c>
      <c r="N142" s="171">
        <f>+M142/D142</f>
        <v>0.36275069283365996</v>
      </c>
      <c r="O142" s="15">
        <f>+F142-M142</f>
        <v>15174253062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+april!I144</f>
        <v>6261500</v>
      </c>
      <c r="H144" s="79">
        <f>5190000</f>
        <v>5190000</v>
      </c>
      <c r="I144" s="15">
        <f>+G144+H144</f>
        <v>11451500</v>
      </c>
      <c r="J144" s="143">
        <f>+I144/F144</f>
        <v>0.25762654668166479</v>
      </c>
      <c r="K144" s="80">
        <f>+april!M144</f>
        <v>6261500</v>
      </c>
      <c r="L144" s="80">
        <v>5190000</v>
      </c>
      <c r="M144" s="80">
        <f>+K144+L144</f>
        <v>11451500</v>
      </c>
      <c r="N144" s="171">
        <f>+M144/D144</f>
        <v>0.25762654668166479</v>
      </c>
      <c r="O144" s="15">
        <f>+F144-M144</f>
        <v>32998500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+april!I146</f>
        <v>1962600</v>
      </c>
      <c r="H146" s="79">
        <v>1292000</v>
      </c>
      <c r="I146" s="15">
        <f>+G146+H146</f>
        <v>3254600</v>
      </c>
      <c r="J146" s="143">
        <f>+I146/F146</f>
        <v>0.25871224165341811</v>
      </c>
      <c r="K146" s="80">
        <f>+april!M146</f>
        <v>1772900</v>
      </c>
      <c r="L146" s="80">
        <v>1470000</v>
      </c>
      <c r="M146" s="80">
        <f>+K146+L146</f>
        <v>3242900</v>
      </c>
      <c r="N146" s="171">
        <f>+M146/D146</f>
        <v>0.25778219395866453</v>
      </c>
      <c r="O146" s="15">
        <f>+F146-M146</f>
        <v>9337100</v>
      </c>
      <c r="P146" s="83"/>
      <c r="Q146" s="6" t="str">
        <f t="shared" ref="Q146" si="80">IF(M146&lt;=I146,"OKE","Salah")</f>
        <v>OKE</v>
      </c>
      <c r="R146" s="6"/>
    </row>
    <row r="147" spans="1:19" ht="17.100000000000001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6984810167</v>
      </c>
      <c r="H147" s="141">
        <f>SUM(H142:H146)</f>
        <v>1667756735</v>
      </c>
      <c r="I147" s="141">
        <f>+G147+H147</f>
        <v>8652566902</v>
      </c>
      <c r="J147" s="247"/>
      <c r="K147" s="313">
        <f>SUM(K142:K146)</f>
        <v>6984620467</v>
      </c>
      <c r="L147" s="141">
        <f>SUM(L142:L146)</f>
        <v>1667934735</v>
      </c>
      <c r="M147" s="232">
        <f>+K147+L147</f>
        <v>8652555202</v>
      </c>
      <c r="N147" s="173">
        <f>+M147/D147</f>
        <v>0.36249960414583554</v>
      </c>
      <c r="O147" s="141">
        <f>+F147-M147</f>
        <v>15216588662</v>
      </c>
      <c r="P147" s="83"/>
      <c r="Q147" s="6"/>
      <c r="R147" s="6"/>
    </row>
    <row r="148" spans="1:19" ht="17.100000000000001" customHeight="1" x14ac:dyDescent="0.2">
      <c r="A148" s="74"/>
      <c r="B148" s="214" t="s">
        <v>199</v>
      </c>
      <c r="C148" s="208" t="s">
        <v>198</v>
      </c>
      <c r="D148" s="178">
        <f>+D150</f>
        <v>144000000</v>
      </c>
      <c r="E148" s="14"/>
      <c r="F148" s="183">
        <f>E148+D148</f>
        <v>144000000</v>
      </c>
      <c r="G148" s="178">
        <f>+G150</f>
        <v>0</v>
      </c>
      <c r="H148" s="178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2">IF(M148&lt;=I148,"OKE","Salah")</f>
        <v>OKE</v>
      </c>
      <c r="R148" s="6"/>
    </row>
    <row r="149" spans="1:19" ht="17.100000000000001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13">
        <v>144000000</v>
      </c>
      <c r="E150" s="14"/>
      <c r="F150" s="13">
        <f>E150+D150</f>
        <v>144000000</v>
      </c>
      <c r="G150" s="80">
        <f>+maret!I150</f>
        <v>0</v>
      </c>
      <c r="H150" s="79">
        <v>0</v>
      </c>
      <c r="I150" s="15">
        <f>+G150+H150</f>
        <v>0</v>
      </c>
      <c r="J150" s="143">
        <f>+I150/F150</f>
        <v>0</v>
      </c>
      <c r="K150" s="80">
        <f>+april!M150</f>
        <v>0</v>
      </c>
      <c r="L150" s="80"/>
      <c r="M150" s="80">
        <f>+K150+L150</f>
        <v>0</v>
      </c>
      <c r="N150" s="171">
        <f>+M150/D150</f>
        <v>0</v>
      </c>
      <c r="O150" s="15">
        <f t="shared" ref="O150" si="83">+D150-M150</f>
        <v>144000000</v>
      </c>
      <c r="P150" s="83"/>
      <c r="Q150" s="6" t="str">
        <f t="shared" si="65"/>
        <v>OKE</v>
      </c>
      <c r="R150" s="6"/>
    </row>
    <row r="151" spans="1:19" ht="13.5" customHeight="1" x14ac:dyDescent="0.2">
      <c r="A151" s="74"/>
      <c r="B151" s="29"/>
      <c r="C151" s="27"/>
      <c r="D151" s="13"/>
      <c r="E151" s="14"/>
      <c r="F151" s="13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224">
        <f>+D150</f>
        <v>144000000</v>
      </c>
      <c r="E152" s="225"/>
      <c r="F152" s="224">
        <f>+F150</f>
        <v>144000000</v>
      </c>
      <c r="G152" s="224">
        <f>+G150</f>
        <v>0</v>
      </c>
      <c r="H152" s="224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178"/>
      <c r="E153" s="221"/>
      <c r="F153" s="178"/>
      <c r="G153" s="178"/>
      <c r="H153" s="178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178">
        <f>+D156+D158</f>
        <v>155412000</v>
      </c>
      <c r="E154" s="221"/>
      <c r="F154" s="178">
        <f>D154</f>
        <v>155412000</v>
      </c>
      <c r="G154" s="178">
        <f t="shared" ref="G154:H154" si="84">+G156+G158</f>
        <v>0</v>
      </c>
      <c r="H154" s="178">
        <f t="shared" si="84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5">IF(M154&lt;=I154,"OKE","Salah")</f>
        <v>OKE</v>
      </c>
      <c r="R154" s="6"/>
    </row>
    <row r="155" spans="1:19" ht="12.75" customHeight="1" x14ac:dyDescent="0.2">
      <c r="A155" s="74"/>
      <c r="B155" s="29"/>
      <c r="C155" s="27"/>
      <c r="D155" s="13"/>
      <c r="E155" s="14"/>
      <c r="F155" s="13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4" customHeight="1" x14ac:dyDescent="0.2">
      <c r="A156" s="205">
        <v>7</v>
      </c>
      <c r="B156" s="220" t="s">
        <v>204</v>
      </c>
      <c r="C156" s="274" t="s">
        <v>205</v>
      </c>
      <c r="D156" s="13">
        <v>0</v>
      </c>
      <c r="E156" s="14"/>
      <c r="F156" s="13">
        <f>D156</f>
        <v>0</v>
      </c>
      <c r="G156" s="80">
        <f>+april!I156</f>
        <v>0</v>
      </c>
      <c r="H156" s="79"/>
      <c r="I156" s="15">
        <f>+G156+H156</f>
        <v>0</v>
      </c>
      <c r="J156" s="143">
        <v>0</v>
      </c>
      <c r="K156" s="80">
        <f>+april!M156</f>
        <v>0</v>
      </c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6" si="86">IF(M156&lt;=I156,"OKE","Salah")</f>
        <v>OKE</v>
      </c>
      <c r="R156" s="6"/>
    </row>
    <row r="157" spans="1:19" ht="11.25" customHeight="1" x14ac:dyDescent="0.2">
      <c r="A157" s="74"/>
      <c r="B157" s="95"/>
      <c r="C157" s="27"/>
      <c r="D157" s="13"/>
      <c r="E157" s="14"/>
      <c r="F157" s="13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28.5" customHeight="1" x14ac:dyDescent="0.2">
      <c r="A158" s="74">
        <v>8</v>
      </c>
      <c r="B158" s="95" t="s">
        <v>206</v>
      </c>
      <c r="C158" s="219" t="s">
        <v>207</v>
      </c>
      <c r="D158" s="13">
        <v>155412000</v>
      </c>
      <c r="E158" s="14"/>
      <c r="F158" s="13">
        <f>D158</f>
        <v>155412000</v>
      </c>
      <c r="G158" s="80">
        <f>+april!I158</f>
        <v>0</v>
      </c>
      <c r="H158" s="79"/>
      <c r="I158" s="15">
        <f>+G158+H158</f>
        <v>0</v>
      </c>
      <c r="J158" s="143">
        <f>+I158/F158</f>
        <v>0</v>
      </c>
      <c r="K158" s="80">
        <f>+april!M158</f>
        <v>0</v>
      </c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87">IF(M158&lt;=I158,"OKE","Salah")</f>
        <v>OKE</v>
      </c>
      <c r="R158" s="6"/>
    </row>
    <row r="159" spans="1:19" ht="15" customHeight="1" x14ac:dyDescent="0.2">
      <c r="A159" s="74"/>
      <c r="B159" s="95"/>
      <c r="C159" s="27"/>
      <c r="D159" s="13"/>
      <c r="E159" s="14"/>
      <c r="F159" s="13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17.100000000000001" customHeight="1" x14ac:dyDescent="0.2">
      <c r="A160" s="226"/>
      <c r="B160" s="227"/>
      <c r="C160" s="223" t="s">
        <v>171</v>
      </c>
      <c r="D160" s="224">
        <f>+D156+D158</f>
        <v>155412000</v>
      </c>
      <c r="E160" s="224">
        <f t="shared" ref="E160:H160" si="88">+E156+E158</f>
        <v>0</v>
      </c>
      <c r="F160" s="224">
        <f t="shared" si="88"/>
        <v>155412000</v>
      </c>
      <c r="G160" s="224">
        <f t="shared" si="88"/>
        <v>0</v>
      </c>
      <c r="H160" s="224">
        <f t="shared" si="88"/>
        <v>0</v>
      </c>
      <c r="I160" s="141">
        <f>+G160+H160</f>
        <v>0</v>
      </c>
      <c r="J160" s="176">
        <f>+I160/F160</f>
        <v>0</v>
      </c>
      <c r="K160" s="224">
        <f t="shared" ref="K160:L160" si="89">+K156+K158</f>
        <v>0</v>
      </c>
      <c r="L160" s="224">
        <f t="shared" si="89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178"/>
      <c r="E161" s="221"/>
      <c r="F161" s="317"/>
      <c r="G161" s="178"/>
      <c r="H161" s="178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14.1" customHeight="1" x14ac:dyDescent="0.2">
      <c r="A162" s="212"/>
      <c r="B162" s="218"/>
      <c r="C162" s="25" t="s">
        <v>313</v>
      </c>
      <c r="D162" s="178">
        <f>+D164</f>
        <v>1621482000</v>
      </c>
      <c r="E162" s="221"/>
      <c r="F162" s="178">
        <f>+D162+E162</f>
        <v>1621482000</v>
      </c>
      <c r="G162" s="178">
        <f t="shared" ref="G162:H162" si="90">+G164</f>
        <v>318666917</v>
      </c>
      <c r="H162" s="178">
        <f t="shared" si="90"/>
        <v>113887967</v>
      </c>
      <c r="I162" s="10">
        <f>+G162+H162</f>
        <v>432554884</v>
      </c>
      <c r="J162" s="168">
        <f>+I162/F162</f>
        <v>0.26676514694581871</v>
      </c>
      <c r="K162" s="178">
        <f t="shared" ref="K162:L162" si="91">+K164</f>
        <v>318666917</v>
      </c>
      <c r="L162" s="178">
        <f t="shared" si="91"/>
        <v>113887967</v>
      </c>
      <c r="M162" s="180">
        <f>+K162+L162</f>
        <v>432554884</v>
      </c>
      <c r="N162" s="169">
        <f>+M162/D162</f>
        <v>0.26676514694581871</v>
      </c>
      <c r="O162" s="10">
        <f>+F162-M162</f>
        <v>1188927116</v>
      </c>
      <c r="P162" s="208"/>
      <c r="Q162" s="6" t="str">
        <f t="shared" ref="Q162" si="92">IF(M162&lt;=I162,"OKE","Salah")</f>
        <v>OKE</v>
      </c>
      <c r="R162" s="6"/>
    </row>
    <row r="163" spans="1:18" ht="14.1" customHeight="1" x14ac:dyDescent="0.2">
      <c r="A163" s="212"/>
      <c r="B163" s="218"/>
      <c r="C163" s="25"/>
      <c r="D163" s="178"/>
      <c r="E163" s="221"/>
      <c r="F163" s="178"/>
      <c r="G163" s="178"/>
      <c r="H163" s="178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4.1" customHeight="1" x14ac:dyDescent="0.2">
      <c r="A164" s="212"/>
      <c r="B164" s="218"/>
      <c r="C164" s="219" t="s">
        <v>314</v>
      </c>
      <c r="D164" s="13">
        <v>1621482000</v>
      </c>
      <c r="E164" s="14"/>
      <c r="F164" s="13">
        <f>D164</f>
        <v>1621482000</v>
      </c>
      <c r="G164" s="80">
        <f>+april!I164</f>
        <v>318666917</v>
      </c>
      <c r="H164" s="79">
        <f>59553184+4598328+776455+48960000</f>
        <v>113887967</v>
      </c>
      <c r="I164" s="15">
        <f>+G164+H164</f>
        <v>432554884</v>
      </c>
      <c r="J164" s="143">
        <f>+I164/F164</f>
        <v>0.26676514694581871</v>
      </c>
      <c r="K164" s="80">
        <f>+april!M164</f>
        <v>318666917</v>
      </c>
      <c r="L164" s="80">
        <f>59553184+4598328+776455+48960000</f>
        <v>113887967</v>
      </c>
      <c r="M164" s="80">
        <f>+K164+L164</f>
        <v>432554884</v>
      </c>
      <c r="N164" s="171">
        <f>+M164/D164</f>
        <v>0.26676514694581871</v>
      </c>
      <c r="O164" s="15">
        <f>+F164-M164</f>
        <v>1188927116</v>
      </c>
      <c r="P164" s="83"/>
      <c r="Q164" s="6" t="str">
        <f t="shared" ref="Q164:Q166" si="93">IF(M164&lt;=I164,"OKE","Salah")</f>
        <v>OKE</v>
      </c>
      <c r="R164" s="6"/>
    </row>
    <row r="165" spans="1:18" ht="14.1" customHeight="1" x14ac:dyDescent="0.2">
      <c r="A165" s="212"/>
      <c r="B165" s="218"/>
      <c r="C165" s="25"/>
      <c r="D165" s="178"/>
      <c r="E165" s="221"/>
      <c r="F165" s="178"/>
      <c r="G165" s="178"/>
      <c r="H165" s="178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14.1" customHeight="1" x14ac:dyDescent="0.2">
      <c r="A166" s="226"/>
      <c r="B166" s="227"/>
      <c r="C166" s="223" t="s">
        <v>171</v>
      </c>
      <c r="D166" s="224">
        <f>+D164</f>
        <v>1621482000</v>
      </c>
      <c r="E166" s="224">
        <f t="shared" ref="E166:F166" si="94">+E164</f>
        <v>0</v>
      </c>
      <c r="F166" s="224">
        <f t="shared" si="94"/>
        <v>1621482000</v>
      </c>
      <c r="G166" s="224">
        <f>+G164</f>
        <v>318666917</v>
      </c>
      <c r="H166" s="224">
        <f>+H164</f>
        <v>113887967</v>
      </c>
      <c r="I166" s="141">
        <f>+G166+H166</f>
        <v>432554884</v>
      </c>
      <c r="J166" s="176">
        <f>+I166/F166</f>
        <v>0.26676514694581871</v>
      </c>
      <c r="K166" s="224">
        <f t="shared" ref="K166:L166" si="95">+K164</f>
        <v>318666917</v>
      </c>
      <c r="L166" s="224">
        <f t="shared" si="95"/>
        <v>113887967</v>
      </c>
      <c r="M166" s="232">
        <f>+K166+L166</f>
        <v>432554884</v>
      </c>
      <c r="N166" s="173">
        <f>+M166/D166</f>
        <v>0.26676514694581871</v>
      </c>
      <c r="O166" s="141">
        <f>+F166-M166</f>
        <v>1188927116</v>
      </c>
      <c r="P166" s="208"/>
      <c r="Q166" s="6" t="str">
        <f t="shared" si="93"/>
        <v>OKE</v>
      </c>
      <c r="R166" s="6"/>
    </row>
    <row r="167" spans="1:18" ht="14.1" customHeight="1" x14ac:dyDescent="0.2">
      <c r="A167" s="212"/>
      <c r="B167" s="218"/>
      <c r="C167" s="25"/>
      <c r="D167" s="178"/>
      <c r="E167" s="221"/>
      <c r="F167" s="178"/>
      <c r="G167" s="178"/>
      <c r="H167" s="178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14.1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14.1" customHeight="1" x14ac:dyDescent="0.2">
      <c r="A169" s="74"/>
      <c r="B169" s="214" t="s">
        <v>304</v>
      </c>
      <c r="C169" s="208" t="s">
        <v>277</v>
      </c>
      <c r="D169" s="178">
        <f>+D171</f>
        <v>176581229</v>
      </c>
      <c r="E169" s="14"/>
      <c r="F169" s="13">
        <f>E169+D169</f>
        <v>176581229</v>
      </c>
      <c r="G169" s="80">
        <f>+maret!I169</f>
        <v>0</v>
      </c>
      <c r="H169" s="178">
        <f>+H171+H174</f>
        <v>0</v>
      </c>
      <c r="I169" s="10">
        <f>+G169+H169</f>
        <v>0</v>
      </c>
      <c r="J169" s="168">
        <f>+I169/F169</f>
        <v>0</v>
      </c>
      <c r="K169" s="178">
        <f>+K171+K174</f>
        <v>0</v>
      </c>
      <c r="L169" s="178">
        <f>+L171+L174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96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13">
        <v>176581229</v>
      </c>
      <c r="E171" s="14"/>
      <c r="F171" s="13">
        <f>E171+D171</f>
        <v>176581229</v>
      </c>
      <c r="G171" s="80">
        <f>+april!I171</f>
        <v>0</v>
      </c>
      <c r="H171" s="79">
        <v>0</v>
      </c>
      <c r="I171" s="15">
        <f>+G171+H171</f>
        <v>0</v>
      </c>
      <c r="J171" s="143">
        <f>+I171/F171</f>
        <v>0</v>
      </c>
      <c r="K171" s="80">
        <f>+april!M171</f>
        <v>0</v>
      </c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97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13"/>
      <c r="E172" s="14"/>
      <c r="F172" s="13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8.75" customHeight="1" x14ac:dyDescent="0.2">
      <c r="A173" s="139"/>
      <c r="B173" s="222"/>
      <c r="C173" s="223" t="s">
        <v>171</v>
      </c>
      <c r="D173" s="224">
        <f>+D171</f>
        <v>176581229</v>
      </c>
      <c r="E173" s="224">
        <f>+E171</f>
        <v>0</v>
      </c>
      <c r="F173" s="224">
        <f>+F171</f>
        <v>176581229</v>
      </c>
      <c r="G173" s="224">
        <f>+G171</f>
        <v>0</v>
      </c>
      <c r="H173" s="224">
        <f>+H171</f>
        <v>0</v>
      </c>
      <c r="I173" s="141">
        <f>+G173+H173</f>
        <v>0</v>
      </c>
      <c r="J173" s="176">
        <f>+I173/F173</f>
        <v>0</v>
      </c>
      <c r="K173" s="224">
        <f>+K171</f>
        <v>0</v>
      </c>
      <c r="L173" s="224">
        <f>+L171</f>
        <v>0</v>
      </c>
      <c r="M173" s="232">
        <f>+K173+L173</f>
        <v>0</v>
      </c>
      <c r="N173" s="173">
        <f>+M173/D173</f>
        <v>0</v>
      </c>
      <c r="O173" s="141">
        <f>+F173-M173</f>
        <v>176581229</v>
      </c>
      <c r="P173" s="208"/>
      <c r="Q173" s="6" t="str">
        <f t="shared" ref="Q173" si="98">IF(M173&lt;=I173,"OKE","Salah")</f>
        <v>OKE</v>
      </c>
      <c r="R173" s="6"/>
    </row>
    <row r="174" spans="1:18" ht="14.1" customHeight="1" x14ac:dyDescent="0.2">
      <c r="A174" s="81"/>
      <c r="B174" s="81"/>
      <c r="C174" s="251"/>
      <c r="D174" s="32"/>
      <c r="E174" s="32"/>
      <c r="F174" s="32"/>
      <c r="G174" s="252"/>
      <c r="H174" s="253"/>
      <c r="I174" s="252"/>
      <c r="J174" s="254"/>
      <c r="K174" s="252"/>
      <c r="L174" s="251"/>
      <c r="M174" s="251"/>
      <c r="N174" s="86"/>
      <c r="O174" s="76"/>
      <c r="P174" s="83"/>
      <c r="Q174" s="6"/>
      <c r="R174" s="6"/>
    </row>
    <row r="175" spans="1:18" ht="14.1" customHeight="1" x14ac:dyDescent="0.2">
      <c r="A175" s="388"/>
      <c r="B175" s="388"/>
      <c r="C175" s="395" t="s">
        <v>137</v>
      </c>
      <c r="D175" s="364">
        <f>+D139+D147+D152+D160+D166+D173</f>
        <v>25992643593</v>
      </c>
      <c r="E175" s="364">
        <v>0</v>
      </c>
      <c r="F175" s="364">
        <f>+D175+E175</f>
        <v>25992643593</v>
      </c>
      <c r="G175" s="455">
        <f>+G139+G147+G152+G160+G166+G173</f>
        <v>7306417084</v>
      </c>
      <c r="H175" s="364">
        <f>+H139+H147+H152+H160+H166+H173</f>
        <v>1786083702</v>
      </c>
      <c r="I175" s="364">
        <f>+I139+I147+I152+I160+I166+I173</f>
        <v>9092500786</v>
      </c>
      <c r="J175" s="398">
        <f>+I175/F175</f>
        <v>0.34981054364353587</v>
      </c>
      <c r="K175" s="455">
        <f>+K139+K147+K152+K160+K173+K166</f>
        <v>7306227384</v>
      </c>
      <c r="L175" s="364">
        <f>+L139+L147+L152+L160+L166+L173</f>
        <v>1786261702</v>
      </c>
      <c r="M175" s="364">
        <f>+K175+L175</f>
        <v>9092489086</v>
      </c>
      <c r="N175" s="405">
        <f>+M175/F175</f>
        <v>0.34981009351617742</v>
      </c>
      <c r="O175" s="402">
        <f>+F175-M175</f>
        <v>16900154507</v>
      </c>
      <c r="P175" s="83"/>
      <c r="Q175" s="6" t="str">
        <f t="shared" si="86"/>
        <v>OKE</v>
      </c>
      <c r="R175" s="6"/>
    </row>
    <row r="176" spans="1:18" ht="14.1" customHeight="1" x14ac:dyDescent="0.2">
      <c r="A176" s="389"/>
      <c r="B176" s="389"/>
      <c r="C176" s="396"/>
      <c r="D176" s="396"/>
      <c r="E176" s="396"/>
      <c r="F176" s="396"/>
      <c r="G176" s="456"/>
      <c r="H176" s="396"/>
      <c r="I176" s="396"/>
      <c r="J176" s="404"/>
      <c r="K176" s="456"/>
      <c r="L176" s="396"/>
      <c r="M176" s="365"/>
      <c r="N176" s="406"/>
      <c r="O176" s="403"/>
      <c r="P176" s="83"/>
      <c r="Q176" s="6" t="str">
        <f t="shared" si="86"/>
        <v>OKE</v>
      </c>
      <c r="R176" s="6"/>
    </row>
    <row r="177" spans="1:18" ht="15" customHeight="1" x14ac:dyDescent="0.2">
      <c r="A177" s="74"/>
      <c r="B177" s="74"/>
      <c r="C177" s="76"/>
      <c r="D177" s="15"/>
      <c r="E177" s="15"/>
      <c r="F177" s="15"/>
      <c r="G177" s="80"/>
      <c r="H177" s="79"/>
      <c r="I177" s="80"/>
      <c r="J177" s="86"/>
      <c r="K177" s="80"/>
      <c r="L177" s="76"/>
      <c r="M177" s="76"/>
      <c r="N177" s="86"/>
      <c r="O177" s="10"/>
      <c r="P177" s="83"/>
      <c r="Q177" s="6"/>
      <c r="R177" s="6"/>
    </row>
    <row r="178" spans="1:18" ht="15" customHeight="1" x14ac:dyDescent="0.2">
      <c r="A178" s="74"/>
      <c r="B178" s="74"/>
      <c r="C178" s="244" t="s">
        <v>70</v>
      </c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14.1" customHeight="1" x14ac:dyDescent="0.2">
      <c r="A179" s="74"/>
      <c r="B179" s="74"/>
      <c r="C179" s="76"/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77"/>
      <c r="Q179" s="6"/>
      <c r="R179" s="6"/>
    </row>
    <row r="180" spans="1:18" ht="24.75" customHeight="1" x14ac:dyDescent="0.2">
      <c r="A180" s="7"/>
      <c r="B180" s="206" t="s">
        <v>154</v>
      </c>
      <c r="C180" s="201" t="s">
        <v>153</v>
      </c>
      <c r="D180" s="10">
        <f>+D182</f>
        <v>1189109400</v>
      </c>
      <c r="E180" s="10">
        <f t="shared" ref="E180:H180" si="99">+E182</f>
        <v>0</v>
      </c>
      <c r="F180" s="10">
        <f t="shared" si="99"/>
        <v>1189109400</v>
      </c>
      <c r="G180" s="10">
        <f t="shared" si="99"/>
        <v>146767900</v>
      </c>
      <c r="H180" s="10">
        <f t="shared" si="99"/>
        <v>158647920</v>
      </c>
      <c r="I180" s="10">
        <f>+G180+H180</f>
        <v>305415820</v>
      </c>
      <c r="J180" s="168">
        <f>+I180/F180</f>
        <v>0.25684417262196396</v>
      </c>
      <c r="K180" s="10">
        <f t="shared" ref="K180:L180" si="100">+K182</f>
        <v>146314320</v>
      </c>
      <c r="L180" s="10">
        <f t="shared" si="100"/>
        <v>159091500</v>
      </c>
      <c r="M180" s="10">
        <f>+K180+L180</f>
        <v>305405820</v>
      </c>
      <c r="N180" s="169">
        <f>+M180/F180</f>
        <v>0.25683576296680521</v>
      </c>
      <c r="O180" s="10">
        <f>+F180-M180</f>
        <v>883703580</v>
      </c>
      <c r="P180" s="77"/>
      <c r="Q180" s="6" t="str">
        <f t="shared" ref="Q180" si="101">IF(M180&lt;=I180,"OKE","Salah")</f>
        <v>OKE</v>
      </c>
      <c r="R180" s="6"/>
    </row>
    <row r="181" spans="1:18" ht="14.1" customHeight="1" x14ac:dyDescent="0.2">
      <c r="A181" s="74"/>
      <c r="B181" s="74"/>
      <c r="C181" s="76"/>
      <c r="D181" s="15"/>
      <c r="E181" s="15"/>
      <c r="F181" s="15"/>
      <c r="G181" s="80"/>
      <c r="H181" s="79"/>
      <c r="I181" s="80"/>
      <c r="J181" s="86"/>
      <c r="K181" s="80"/>
      <c r="L181" s="76"/>
      <c r="M181" s="76"/>
      <c r="N181" s="86"/>
      <c r="O181" s="10"/>
      <c r="P181" s="77"/>
      <c r="Q181" s="6"/>
      <c r="R181" s="6"/>
    </row>
    <row r="182" spans="1:18" ht="18" customHeight="1" x14ac:dyDescent="0.2">
      <c r="A182" s="74"/>
      <c r="B182" s="95" t="s">
        <v>212</v>
      </c>
      <c r="C182" s="25" t="s">
        <v>213</v>
      </c>
      <c r="D182" s="178">
        <f>SUM(D184:D190)</f>
        <v>1189109400</v>
      </c>
      <c r="E182" s="14"/>
      <c r="F182" s="178">
        <f>E182+D182</f>
        <v>1189109400</v>
      </c>
      <c r="G182" s="178">
        <f>SUM(G184:G190)</f>
        <v>146767900</v>
      </c>
      <c r="H182" s="178">
        <f>SUM(H184:H190)</f>
        <v>158647920</v>
      </c>
      <c r="I182" s="10">
        <f>H182+G182</f>
        <v>305415820</v>
      </c>
      <c r="J182" s="168">
        <f>+I182/F182</f>
        <v>0.25684417262196396</v>
      </c>
      <c r="K182" s="178">
        <f>SUM(K184:K190)</f>
        <v>146314320</v>
      </c>
      <c r="L182" s="178">
        <f>SUM(L184:L190)</f>
        <v>159091500</v>
      </c>
      <c r="M182" s="180">
        <f>+K182+L182</f>
        <v>305405820</v>
      </c>
      <c r="N182" s="169">
        <f>+M182/F182</f>
        <v>0.25683576296680521</v>
      </c>
      <c r="O182" s="10">
        <f>+F182-M182</f>
        <v>883703580</v>
      </c>
      <c r="P182" s="77"/>
      <c r="Q182" s="6" t="str">
        <f t="shared" ref="Q182" si="102">IF(M182&lt;=I182,"OKE","Salah")</f>
        <v>OKE</v>
      </c>
      <c r="R182" s="6"/>
    </row>
    <row r="183" spans="1:18" ht="15.75" customHeight="1" x14ac:dyDescent="0.2">
      <c r="A183" s="74"/>
      <c r="B183" s="95"/>
      <c r="C183" s="27"/>
      <c r="D183" s="13"/>
      <c r="E183" s="14"/>
      <c r="F183" s="13"/>
      <c r="G183" s="78"/>
      <c r="H183" s="79"/>
      <c r="I183" s="15"/>
      <c r="J183" s="143"/>
      <c r="K183" s="80"/>
      <c r="L183" s="80"/>
      <c r="M183" s="80"/>
      <c r="N183" s="171"/>
      <c r="O183" s="15"/>
      <c r="P183" s="77"/>
      <c r="Q183" s="6"/>
      <c r="R183" s="6"/>
    </row>
    <row r="184" spans="1:18" ht="14.1" customHeight="1" x14ac:dyDescent="0.2">
      <c r="A184" s="74">
        <v>1</v>
      </c>
      <c r="B184" s="95" t="s">
        <v>215</v>
      </c>
      <c r="C184" s="27" t="s">
        <v>214</v>
      </c>
      <c r="D184" s="13">
        <v>206216100</v>
      </c>
      <c r="E184" s="14"/>
      <c r="F184" s="13">
        <f>E184+D184</f>
        <v>206216100</v>
      </c>
      <c r="G184" s="80">
        <f>+april!I184</f>
        <v>48957600</v>
      </c>
      <c r="H184" s="79">
        <f>6800000+11067920</f>
        <v>17867920</v>
      </c>
      <c r="I184" s="15">
        <f>H184+G184</f>
        <v>66825520</v>
      </c>
      <c r="J184" s="143">
        <f>+I184/F184</f>
        <v>0.32405578419919684</v>
      </c>
      <c r="K184" s="80">
        <f>+april!M184</f>
        <v>48887520</v>
      </c>
      <c r="L184" s="80">
        <f>6800000+11138000</f>
        <v>17938000</v>
      </c>
      <c r="M184" s="80">
        <f>+K184+L184</f>
        <v>66825520</v>
      </c>
      <c r="N184" s="171">
        <f>+M184/F184</f>
        <v>0.32405578419919684</v>
      </c>
      <c r="O184" s="15">
        <f>+F184-M184</f>
        <v>139390580</v>
      </c>
      <c r="P184" s="77"/>
      <c r="Q184" s="6" t="str">
        <f t="shared" ref="Q184" si="103">IF(M184&lt;=I184,"OKE","Salah")</f>
        <v>OKE</v>
      </c>
      <c r="R184" s="6"/>
    </row>
    <row r="185" spans="1:18" ht="15.75" customHeight="1" x14ac:dyDescent="0.2">
      <c r="A185" s="74"/>
      <c r="B185" s="95"/>
      <c r="C185" s="27"/>
      <c r="D185" s="13"/>
      <c r="E185" s="14"/>
      <c r="F185" s="13"/>
      <c r="G185" s="78"/>
      <c r="H185" s="79"/>
      <c r="I185" s="15"/>
      <c r="J185" s="143"/>
      <c r="K185" s="80"/>
      <c r="L185" s="80"/>
      <c r="M185" s="80"/>
      <c r="N185" s="171"/>
      <c r="O185" s="15"/>
      <c r="P185" s="77"/>
      <c r="Q185" s="6"/>
      <c r="R185" s="6"/>
    </row>
    <row r="186" spans="1:18" ht="14.1" customHeight="1" x14ac:dyDescent="0.2">
      <c r="A186" s="74">
        <v>2</v>
      </c>
      <c r="B186" s="95" t="s">
        <v>217</v>
      </c>
      <c r="C186" s="27" t="s">
        <v>216</v>
      </c>
      <c r="D186" s="13">
        <v>615087000</v>
      </c>
      <c r="E186" s="14"/>
      <c r="F186" s="13">
        <f>E186+D186</f>
        <v>615087000</v>
      </c>
      <c r="G186" s="80">
        <f>+april!I186</f>
        <v>47728500</v>
      </c>
      <c r="H186" s="79">
        <f>17050000+89500000+15207500</f>
        <v>121757500</v>
      </c>
      <c r="I186" s="15">
        <f>H186+G186</f>
        <v>169486000</v>
      </c>
      <c r="J186" s="143">
        <f>+I186/F186</f>
        <v>0.27554801190725864</v>
      </c>
      <c r="K186" s="80">
        <f>+april!M186</f>
        <v>47345000</v>
      </c>
      <c r="L186" s="80">
        <f>17050000+89500000+15581000</f>
        <v>122131000</v>
      </c>
      <c r="M186" s="80">
        <f>+K186+L186</f>
        <v>169476000</v>
      </c>
      <c r="N186" s="171">
        <f>+M186/F186</f>
        <v>0.27553175404454977</v>
      </c>
      <c r="O186" s="15">
        <f>+F186-M186</f>
        <v>445611000</v>
      </c>
      <c r="P186" s="77"/>
      <c r="Q186" s="6" t="str">
        <f t="shared" ref="Q186" si="104">IF(M186&lt;=I186,"OKE","Salah")</f>
        <v>OKE</v>
      </c>
      <c r="R186" s="6"/>
    </row>
    <row r="187" spans="1:18" ht="17.25" customHeight="1" x14ac:dyDescent="0.2">
      <c r="A187" s="74"/>
      <c r="B187" s="95"/>
      <c r="C187" s="27"/>
      <c r="D187" s="13"/>
      <c r="E187" s="14"/>
      <c r="F187" s="13"/>
      <c r="G187" s="78"/>
      <c r="H187" s="79"/>
      <c r="I187" s="15"/>
      <c r="J187" s="143"/>
      <c r="K187" s="80"/>
      <c r="L187" s="80"/>
      <c r="M187" s="80"/>
      <c r="N187" s="171"/>
      <c r="O187" s="15"/>
      <c r="P187" s="77"/>
      <c r="Q187" s="6"/>
      <c r="R187" s="6"/>
    </row>
    <row r="188" spans="1:18" ht="14.1" customHeight="1" x14ac:dyDescent="0.2">
      <c r="A188" s="74">
        <v>3</v>
      </c>
      <c r="B188" s="95" t="s">
        <v>219</v>
      </c>
      <c r="C188" s="27" t="s">
        <v>218</v>
      </c>
      <c r="D188" s="13">
        <v>257443800</v>
      </c>
      <c r="E188" s="14"/>
      <c r="F188" s="13">
        <f>E188+D188</f>
        <v>257443800</v>
      </c>
      <c r="G188" s="80">
        <f>+april!I188</f>
        <v>31866800</v>
      </c>
      <c r="H188" s="79">
        <v>12170000</v>
      </c>
      <c r="I188" s="15">
        <f>H188+G188</f>
        <v>44036800</v>
      </c>
      <c r="J188" s="143">
        <f>+I188/F188</f>
        <v>0.17105403198678701</v>
      </c>
      <c r="K188" s="80">
        <f>+april!M188</f>
        <v>31866800</v>
      </c>
      <c r="L188" s="80">
        <v>12170000</v>
      </c>
      <c r="M188" s="80">
        <f>+K188+L188</f>
        <v>44036800</v>
      </c>
      <c r="N188" s="171">
        <f>+M188/F188</f>
        <v>0.17105403198678701</v>
      </c>
      <c r="O188" s="15">
        <f>+F188-M188</f>
        <v>213407000</v>
      </c>
      <c r="P188" s="77"/>
      <c r="Q188" s="6" t="str">
        <f t="shared" ref="Q188" si="105">IF(M188&lt;=I188,"OKE","Salah")</f>
        <v>OKE</v>
      </c>
      <c r="R188" s="6"/>
    </row>
    <row r="189" spans="1:18" ht="17.25" customHeight="1" x14ac:dyDescent="0.2">
      <c r="A189" s="74"/>
      <c r="B189" s="95"/>
      <c r="C189" s="27"/>
      <c r="D189" s="13"/>
      <c r="E189" s="14"/>
      <c r="F189" s="13"/>
      <c r="G189" s="78"/>
      <c r="H189" s="79"/>
      <c r="I189" s="15"/>
      <c r="J189" s="143"/>
      <c r="K189" s="80"/>
      <c r="L189" s="80"/>
      <c r="M189" s="80"/>
      <c r="N189" s="171"/>
      <c r="O189" s="15"/>
      <c r="P189" s="77"/>
      <c r="Q189" s="6"/>
      <c r="R189" s="6"/>
    </row>
    <row r="190" spans="1:18" ht="27.75" customHeight="1" x14ac:dyDescent="0.2">
      <c r="A190" s="205">
        <v>4</v>
      </c>
      <c r="B190" s="220" t="s">
        <v>221</v>
      </c>
      <c r="C190" s="219" t="s">
        <v>220</v>
      </c>
      <c r="D190" s="213">
        <v>110362500</v>
      </c>
      <c r="E190" s="14"/>
      <c r="F190" s="13">
        <f>E190+D190</f>
        <v>110362500</v>
      </c>
      <c r="G190" s="80">
        <f>+april!I190</f>
        <v>18215000</v>
      </c>
      <c r="H190" s="79">
        <v>6852500</v>
      </c>
      <c r="I190" s="15">
        <f>H190+G190</f>
        <v>25067500</v>
      </c>
      <c r="J190" s="143">
        <f>+I190/F190</f>
        <v>0.22713784120511948</v>
      </c>
      <c r="K190" s="80">
        <f>+april!M190</f>
        <v>18215000</v>
      </c>
      <c r="L190" s="80">
        <v>6852500</v>
      </c>
      <c r="M190" s="80">
        <f>+K190+L190</f>
        <v>25067500</v>
      </c>
      <c r="N190" s="171">
        <f>+M190/F190</f>
        <v>0.22713784120511948</v>
      </c>
      <c r="O190" s="15">
        <f>+F190-M190</f>
        <v>85295000</v>
      </c>
      <c r="P190" s="77"/>
      <c r="Q190" s="6" t="str">
        <f t="shared" ref="Q190" si="106">IF(M190&lt;=I190,"OKE","Salah")</f>
        <v>OKE</v>
      </c>
      <c r="R190" s="6"/>
    </row>
    <row r="191" spans="1:18" ht="14.1" customHeight="1" x14ac:dyDescent="0.2">
      <c r="A191" s="139"/>
      <c r="B191" s="139"/>
      <c r="C191" s="140"/>
      <c r="D191" s="142"/>
      <c r="E191" s="142"/>
      <c r="F191" s="142"/>
      <c r="G191" s="188"/>
      <c r="H191" s="246"/>
      <c r="I191" s="188"/>
      <c r="J191" s="247"/>
      <c r="K191" s="188"/>
      <c r="L191" s="245"/>
      <c r="M191" s="245"/>
      <c r="N191" s="247"/>
      <c r="O191" s="141"/>
      <c r="P191" s="77"/>
      <c r="Q191" s="6"/>
      <c r="R191" s="6"/>
    </row>
    <row r="192" spans="1:18" ht="14.1" customHeight="1" x14ac:dyDescent="0.2">
      <c r="A192" s="388"/>
      <c r="B192" s="388"/>
      <c r="C192" s="395" t="s">
        <v>72</v>
      </c>
      <c r="D192" s="364">
        <f>SUM(D184:D190)</f>
        <v>1189109400</v>
      </c>
      <c r="E192" s="364">
        <f>SUM(E184:E190)</f>
        <v>0</v>
      </c>
      <c r="F192" s="364">
        <f>SUM(F184:F190)</f>
        <v>1189109400</v>
      </c>
      <c r="G192" s="364">
        <f>SUM(G184:G190)</f>
        <v>146767900</v>
      </c>
      <c r="H192" s="364">
        <f>SUM(H184:H190)</f>
        <v>158647920</v>
      </c>
      <c r="I192" s="364">
        <f>G192+H192</f>
        <v>305415820</v>
      </c>
      <c r="J192" s="368">
        <f>+I192/F192</f>
        <v>0.25684417262196396</v>
      </c>
      <c r="K192" s="364">
        <f>SUM(K184:K190)</f>
        <v>146314320</v>
      </c>
      <c r="L192" s="364">
        <f>SUM(L184:L190)</f>
        <v>159091500</v>
      </c>
      <c r="M192" s="364">
        <f>+K192+L192</f>
        <v>305405820</v>
      </c>
      <c r="N192" s="366">
        <f>+M192/F192</f>
        <v>0.25683576296680521</v>
      </c>
      <c r="O192" s="364">
        <f>+F192-M192</f>
        <v>883703580</v>
      </c>
      <c r="P192" s="77"/>
      <c r="Q192" s="6" t="str">
        <f t="shared" ref="Q192:Q227" si="107">IF(M192&lt;=I192,"OKE","Salah")</f>
        <v>OKE</v>
      </c>
      <c r="R192" s="6"/>
    </row>
    <row r="193" spans="1:19" ht="14.1" customHeight="1" x14ac:dyDescent="0.2">
      <c r="A193" s="389"/>
      <c r="B193" s="389"/>
      <c r="C193" s="396"/>
      <c r="D193" s="365"/>
      <c r="E193" s="365"/>
      <c r="F193" s="365"/>
      <c r="G193" s="365"/>
      <c r="H193" s="365"/>
      <c r="I193" s="396"/>
      <c r="J193" s="369"/>
      <c r="K193" s="365"/>
      <c r="L193" s="365"/>
      <c r="M193" s="365"/>
      <c r="N193" s="367"/>
      <c r="O193" s="365"/>
      <c r="P193" s="77"/>
      <c r="Q193" s="6" t="str">
        <f t="shared" si="107"/>
        <v>OKE</v>
      </c>
      <c r="R193" s="6"/>
    </row>
    <row r="194" spans="1:19" ht="14.45" customHeight="1" x14ac:dyDescent="0.2">
      <c r="A194" s="74"/>
      <c r="B194" s="76"/>
      <c r="C194" s="76"/>
      <c r="D194" s="8"/>
      <c r="E194" s="8"/>
      <c r="F194" s="8"/>
      <c r="G194" s="76"/>
      <c r="H194" s="82"/>
      <c r="I194" s="76"/>
      <c r="J194" s="86"/>
      <c r="K194" s="76"/>
      <c r="L194" s="76"/>
      <c r="M194" s="76"/>
      <c r="N194" s="248"/>
      <c r="O194" s="241"/>
      <c r="P194" s="77"/>
      <c r="Q194" s="6"/>
      <c r="R194" s="6"/>
    </row>
    <row r="195" spans="1:19" ht="17.100000000000001" customHeight="1" x14ac:dyDescent="0.2">
      <c r="A195" s="74"/>
      <c r="B195" s="76"/>
      <c r="C195" s="244" t="s">
        <v>73</v>
      </c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86"/>
      <c r="O195" s="76"/>
      <c r="P195" s="77"/>
      <c r="Q195" s="6"/>
      <c r="R195" s="6"/>
    </row>
    <row r="196" spans="1:19" ht="14.25" customHeight="1" x14ac:dyDescent="0.2">
      <c r="A196" s="74"/>
      <c r="B196" s="76"/>
      <c r="C196" s="76"/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ht="27" customHeight="1" x14ac:dyDescent="0.2">
      <c r="A197" s="7"/>
      <c r="B197" s="206" t="s">
        <v>154</v>
      </c>
      <c r="C197" s="201" t="s">
        <v>153</v>
      </c>
      <c r="D197" s="10">
        <f>+D199+D207+D221+D229+D246</f>
        <v>11163425000</v>
      </c>
      <c r="E197" s="10">
        <f>+E199+E207+E221+E229+E246</f>
        <v>0</v>
      </c>
      <c r="F197" s="10">
        <f>+D197+E197</f>
        <v>11163425000</v>
      </c>
      <c r="G197" s="312">
        <f>+G199+G207+G221+G229+G239+G246</f>
        <v>3291601666</v>
      </c>
      <c r="H197" s="10">
        <f>+H199+H207+H221+H229+H239+H246</f>
        <v>1312227830</v>
      </c>
      <c r="I197" s="10">
        <f>+G197+H197</f>
        <v>4603829496</v>
      </c>
      <c r="J197" s="168">
        <f>+I197/F197</f>
        <v>0.41240295841106112</v>
      </c>
      <c r="K197" s="312">
        <f>+K199+K207+K221+K229+K246</f>
        <v>3001039769</v>
      </c>
      <c r="L197" s="10">
        <f>+L199+L207+L221+L229+L246</f>
        <v>1240220495</v>
      </c>
      <c r="M197" s="10">
        <f>+K197+L197</f>
        <v>4241260264</v>
      </c>
      <c r="N197" s="169">
        <f>+M197/F197</f>
        <v>0.37992464355697286</v>
      </c>
      <c r="O197" s="10">
        <f>+F197-M197</f>
        <v>6922164736</v>
      </c>
      <c r="P197" s="77"/>
      <c r="Q197" s="6" t="str">
        <f t="shared" ref="Q197:Q199" si="108">IF(M197&lt;=I197,"OKE","Salah")</f>
        <v>OKE</v>
      </c>
      <c r="R197" s="6"/>
    </row>
    <row r="198" spans="1:19" ht="15" customHeight="1" x14ac:dyDescent="0.2">
      <c r="A198" s="7"/>
      <c r="B198" s="206"/>
      <c r="C198" s="305"/>
      <c r="D198" s="10"/>
      <c r="E198" s="296"/>
      <c r="F198" s="10"/>
      <c r="G198" s="10"/>
      <c r="H198" s="10"/>
      <c r="I198" s="10"/>
      <c r="J198" s="168"/>
      <c r="K198" s="10"/>
      <c r="L198" s="10"/>
      <c r="M198" s="10"/>
      <c r="N198" s="169"/>
      <c r="O198" s="10"/>
      <c r="P198" s="77"/>
      <c r="Q198" s="6"/>
      <c r="R198" s="6"/>
    </row>
    <row r="199" spans="1:19" ht="15" customHeight="1" x14ac:dyDescent="0.2">
      <c r="A199" s="212"/>
      <c r="B199" s="7" t="s">
        <v>160</v>
      </c>
      <c r="C199" s="208" t="s">
        <v>315</v>
      </c>
      <c r="D199" s="178">
        <f>+D201+D203</f>
        <v>164975000</v>
      </c>
      <c r="E199" s="221"/>
      <c r="F199" s="178">
        <f>+D199+E199</f>
        <v>164975000</v>
      </c>
      <c r="G199" s="178">
        <f t="shared" ref="G199:H199" si="109">+G201+G203</f>
        <v>2250000</v>
      </c>
      <c r="H199" s="178">
        <f t="shared" si="109"/>
        <v>106425000</v>
      </c>
      <c r="I199" s="10">
        <f>+G199+H199</f>
        <v>108675000</v>
      </c>
      <c r="J199" s="168">
        <f>+I199/F199</f>
        <v>0.65873617214729507</v>
      </c>
      <c r="K199" s="178">
        <f t="shared" ref="K199:L199" si="110">+K201+K203</f>
        <v>2250000</v>
      </c>
      <c r="L199" s="178">
        <f t="shared" si="110"/>
        <v>106425000</v>
      </c>
      <c r="M199" s="10">
        <f>+K199+L199</f>
        <v>108675000</v>
      </c>
      <c r="N199" s="169">
        <f>+M199/F199</f>
        <v>0.65873617214729507</v>
      </c>
      <c r="O199" s="10">
        <f>+F199-M199</f>
        <v>56300000</v>
      </c>
      <c r="P199" s="77"/>
      <c r="Q199" s="6" t="str">
        <f t="shared" si="108"/>
        <v>OKE</v>
      </c>
      <c r="R199" s="6"/>
    </row>
    <row r="200" spans="1:19" ht="15" customHeight="1" x14ac:dyDescent="0.2">
      <c r="A200" s="74"/>
      <c r="B200" s="74"/>
      <c r="C200" s="76"/>
      <c r="D200" s="15"/>
      <c r="E200" s="17"/>
      <c r="F200" s="15"/>
      <c r="G200" s="78"/>
      <c r="H200" s="79"/>
      <c r="I200" s="80"/>
      <c r="J200" s="86"/>
      <c r="K200" s="78"/>
      <c r="L200" s="76"/>
      <c r="M200" s="76"/>
      <c r="N200" s="86"/>
      <c r="O200" s="10"/>
      <c r="P200" s="77"/>
      <c r="Q200" s="6"/>
      <c r="R200" s="6"/>
    </row>
    <row r="201" spans="1:19" ht="15" customHeight="1" x14ac:dyDescent="0.2">
      <c r="A201" s="74">
        <v>1</v>
      </c>
      <c r="B201" s="28" t="s">
        <v>164</v>
      </c>
      <c r="C201" s="83" t="s">
        <v>316</v>
      </c>
      <c r="D201" s="13">
        <v>139975000</v>
      </c>
      <c r="E201" s="14"/>
      <c r="F201" s="13">
        <f>+D201+E201</f>
        <v>139975000</v>
      </c>
      <c r="G201" s="80">
        <f>+april!I201</f>
        <v>0</v>
      </c>
      <c r="H201" s="79">
        <v>106425000</v>
      </c>
      <c r="I201" s="15">
        <f>+G201+H201</f>
        <v>106425000</v>
      </c>
      <c r="J201" s="143">
        <f>+I201/F201</f>
        <v>0.76031434184675839</v>
      </c>
      <c r="K201" s="80">
        <f>+april!M201</f>
        <v>0</v>
      </c>
      <c r="L201" s="80">
        <v>106425000</v>
      </c>
      <c r="M201" s="80">
        <f>+K201+L201</f>
        <v>106425000</v>
      </c>
      <c r="N201" s="171">
        <f>+M201/F201</f>
        <v>0.76031434184675839</v>
      </c>
      <c r="O201" s="15">
        <f>+F201-M201</f>
        <v>33550000</v>
      </c>
      <c r="P201" s="77"/>
      <c r="Q201" s="6" t="str">
        <f t="shared" ref="Q201" si="111">IF(M201&lt;=I201,"OKE","Salah")</f>
        <v>OKE</v>
      </c>
      <c r="R201" s="6"/>
    </row>
    <row r="202" spans="1:19" ht="15" customHeight="1" x14ac:dyDescent="0.2">
      <c r="A202" s="74"/>
      <c r="B202" s="74"/>
      <c r="C202" s="83"/>
      <c r="D202" s="15"/>
      <c r="E202" s="17"/>
      <c r="F202" s="15"/>
      <c r="G202" s="78"/>
      <c r="H202" s="79"/>
      <c r="I202" s="80"/>
      <c r="J202" s="86"/>
      <c r="K202" s="78"/>
      <c r="L202" s="76"/>
      <c r="M202" s="76"/>
      <c r="N202" s="86"/>
      <c r="O202" s="10"/>
      <c r="P202" s="77"/>
      <c r="Q202" s="6"/>
      <c r="R202" s="6"/>
    </row>
    <row r="203" spans="1:19" ht="26.25" customHeight="1" x14ac:dyDescent="0.2">
      <c r="A203" s="74">
        <v>2</v>
      </c>
      <c r="B203" s="28" t="s">
        <v>165</v>
      </c>
      <c r="C203" s="304" t="s">
        <v>317</v>
      </c>
      <c r="D203" s="13">
        <v>25000000</v>
      </c>
      <c r="E203" s="14"/>
      <c r="F203" s="13">
        <f>+D203+E203</f>
        <v>25000000</v>
      </c>
      <c r="G203" s="80">
        <f>+april!I203</f>
        <v>2250000</v>
      </c>
      <c r="H203" s="79">
        <v>0</v>
      </c>
      <c r="I203" s="15">
        <f>+G203+H203</f>
        <v>2250000</v>
      </c>
      <c r="J203" s="143">
        <f>+I203/F203</f>
        <v>0.09</v>
      </c>
      <c r="K203" s="80">
        <f>+april!M203</f>
        <v>2250000</v>
      </c>
      <c r="L203" s="80">
        <v>0</v>
      </c>
      <c r="M203" s="80">
        <f>+K203+L203</f>
        <v>2250000</v>
      </c>
      <c r="N203" s="171">
        <f>+M203/F203</f>
        <v>0.09</v>
      </c>
      <c r="O203" s="15">
        <f>+F203-M203</f>
        <v>22750000</v>
      </c>
      <c r="P203" s="77"/>
      <c r="Q203" s="6" t="str">
        <f t="shared" ref="Q203" si="112">IF(M203&lt;=I203,"OKE","Salah")</f>
        <v>OKE</v>
      </c>
      <c r="R203" s="6"/>
    </row>
    <row r="204" spans="1:19" ht="15" customHeight="1" x14ac:dyDescent="0.2">
      <c r="A204" s="74"/>
      <c r="B204" s="28"/>
      <c r="C204" s="304"/>
      <c r="D204" s="13"/>
      <c r="E204" s="14"/>
      <c r="F204" s="13"/>
      <c r="G204" s="78"/>
      <c r="H204" s="79"/>
      <c r="I204" s="15"/>
      <c r="J204" s="143"/>
      <c r="K204" s="78"/>
      <c r="L204" s="80"/>
      <c r="M204" s="80"/>
      <c r="N204" s="171"/>
      <c r="O204" s="15"/>
      <c r="P204" s="77"/>
      <c r="Q204" s="6"/>
      <c r="R204" s="6"/>
    </row>
    <row r="205" spans="1:19" ht="15" customHeight="1" x14ac:dyDescent="0.2">
      <c r="A205" s="81"/>
      <c r="B205" s="81"/>
      <c r="C205" s="23" t="s">
        <v>172</v>
      </c>
      <c r="D205" s="24">
        <f>+D201+D203</f>
        <v>164975000</v>
      </c>
      <c r="E205" s="24">
        <f t="shared" ref="E205" si="113">+E201+E203</f>
        <v>0</v>
      </c>
      <c r="F205" s="24">
        <f>+D205+E205</f>
        <v>164975000</v>
      </c>
      <c r="G205" s="24">
        <f t="shared" ref="G205:H205" si="114">+G201+G203</f>
        <v>2250000</v>
      </c>
      <c r="H205" s="24">
        <f t="shared" si="114"/>
        <v>106425000</v>
      </c>
      <c r="I205" s="24">
        <f>+G205+H205</f>
        <v>108675000</v>
      </c>
      <c r="J205" s="175">
        <f>+I205/F205</f>
        <v>0.65873617214729507</v>
      </c>
      <c r="K205" s="24">
        <f t="shared" ref="K205:L205" si="115">+K201+K203</f>
        <v>2250000</v>
      </c>
      <c r="L205" s="24">
        <f t="shared" si="115"/>
        <v>106425000</v>
      </c>
      <c r="M205" s="24">
        <f>+K205+L205</f>
        <v>108675000</v>
      </c>
      <c r="N205" s="172">
        <f>+M205/F205</f>
        <v>0.65873617214729507</v>
      </c>
      <c r="O205" s="24">
        <f>+F205-M205</f>
        <v>56300000</v>
      </c>
      <c r="P205" s="77"/>
      <c r="Q205" s="6" t="str">
        <f t="shared" ref="Q205" si="116">IF(M205&lt;=I205,"OKE","Salah")</f>
        <v>OKE</v>
      </c>
      <c r="R205" s="6"/>
    </row>
    <row r="206" spans="1:19" ht="14.1" customHeight="1" x14ac:dyDescent="0.2">
      <c r="A206" s="74"/>
      <c r="B206" s="28"/>
      <c r="C206" s="83"/>
      <c r="D206" s="13"/>
      <c r="E206" s="14"/>
      <c r="F206" s="183"/>
      <c r="G206" s="78"/>
      <c r="H206" s="79"/>
      <c r="I206" s="15"/>
      <c r="J206" s="143"/>
      <c r="K206" s="78"/>
      <c r="L206" s="80"/>
      <c r="M206" s="80"/>
      <c r="N206" s="171"/>
      <c r="O206" s="15"/>
      <c r="P206" s="77"/>
      <c r="Q206" s="6"/>
      <c r="R206" s="6"/>
    </row>
    <row r="207" spans="1:19" s="77" customFormat="1" ht="14.1" customHeight="1" x14ac:dyDescent="0.2">
      <c r="A207" s="212"/>
      <c r="B207" s="7" t="s">
        <v>160</v>
      </c>
      <c r="C207" s="208" t="s">
        <v>159</v>
      </c>
      <c r="D207" s="178">
        <f>SUM(D209:D217)</f>
        <v>5266450000</v>
      </c>
      <c r="E207" s="221"/>
      <c r="F207" s="178">
        <f>+D207+E207</f>
        <v>5266450000</v>
      </c>
      <c r="G207" s="314">
        <f t="shared" ref="G207:H207" si="117">SUM(G209:G217)</f>
        <v>1553815150</v>
      </c>
      <c r="H207" s="178">
        <f t="shared" si="117"/>
        <v>756036650</v>
      </c>
      <c r="I207" s="10">
        <f>+G207+H207</f>
        <v>2309851800</v>
      </c>
      <c r="J207" s="168">
        <f>+I207/F207</f>
        <v>0.43859749926421021</v>
      </c>
      <c r="K207" s="314">
        <f t="shared" ref="K207:L207" si="118">SUM(K209:K217)</f>
        <v>1553743150</v>
      </c>
      <c r="L207" s="178">
        <f t="shared" si="118"/>
        <v>756036650</v>
      </c>
      <c r="M207" s="10">
        <f>+K207+L207</f>
        <v>2309779800</v>
      </c>
      <c r="N207" s="169">
        <f>+M207/F207</f>
        <v>0.43858382781570127</v>
      </c>
      <c r="O207" s="10">
        <f>+F207-M207</f>
        <v>2956670200</v>
      </c>
      <c r="Q207" s="6" t="str">
        <f t="shared" si="107"/>
        <v>OKE</v>
      </c>
      <c r="R207" s="6"/>
      <c r="S207" s="69"/>
    </row>
    <row r="208" spans="1:19" s="77" customFormat="1" ht="14.1" customHeight="1" x14ac:dyDescent="0.2">
      <c r="A208" s="74"/>
      <c r="B208" s="74"/>
      <c r="C208" s="76"/>
      <c r="D208" s="15"/>
      <c r="E208" s="17"/>
      <c r="F208" s="15"/>
      <c r="G208" s="78"/>
      <c r="H208" s="79"/>
      <c r="I208" s="80"/>
      <c r="J208" s="86"/>
      <c r="K208" s="78"/>
      <c r="L208" s="76"/>
      <c r="M208" s="76"/>
      <c r="N208" s="86"/>
      <c r="O208" s="10"/>
      <c r="Q208" s="6"/>
      <c r="R208" s="6"/>
      <c r="S208" s="69"/>
    </row>
    <row r="209" spans="1:19" s="77" customFormat="1" ht="15" customHeight="1" x14ac:dyDescent="0.2">
      <c r="A209" s="74">
        <v>3</v>
      </c>
      <c r="B209" s="28" t="s">
        <v>164</v>
      </c>
      <c r="C209" s="83" t="s">
        <v>161</v>
      </c>
      <c r="D209" s="13">
        <v>1660000000</v>
      </c>
      <c r="E209" s="14"/>
      <c r="F209" s="13">
        <f>+D209+E209</f>
        <v>1660000000</v>
      </c>
      <c r="G209" s="80">
        <f>+april!I209</f>
        <v>555560300</v>
      </c>
      <c r="H209" s="80">
        <f>174201000+78477100</f>
        <v>252678100</v>
      </c>
      <c r="I209" s="15">
        <f>+G209+H209</f>
        <v>808238400</v>
      </c>
      <c r="J209" s="143">
        <f>+I209/F209</f>
        <v>0.48689060240963855</v>
      </c>
      <c r="K209" s="80">
        <f>+april!M209</f>
        <v>555560300</v>
      </c>
      <c r="L209" s="80">
        <f>174201000+78477100</f>
        <v>252678100</v>
      </c>
      <c r="M209" s="80">
        <f>+K209+L209</f>
        <v>808238400</v>
      </c>
      <c r="N209" s="171">
        <f>+M209/F209</f>
        <v>0.48689060240963855</v>
      </c>
      <c r="O209" s="15">
        <f>+F209-M209</f>
        <v>851761600</v>
      </c>
      <c r="Q209" s="6" t="str">
        <f t="shared" si="107"/>
        <v>OKE</v>
      </c>
      <c r="R209" s="6"/>
      <c r="S209" s="68"/>
    </row>
    <row r="210" spans="1:19" s="77" customFormat="1" ht="14.1" customHeight="1" x14ac:dyDescent="0.2">
      <c r="A210" s="74"/>
      <c r="B210" s="74"/>
      <c r="C210" s="83"/>
      <c r="D210" s="15"/>
      <c r="E210" s="17"/>
      <c r="F210" s="15"/>
      <c r="G210" s="78"/>
      <c r="H210" s="79"/>
      <c r="I210" s="15">
        <f>+G210+H210</f>
        <v>0</v>
      </c>
      <c r="J210" s="86"/>
      <c r="K210" s="78"/>
      <c r="L210" s="76"/>
      <c r="M210" s="76"/>
      <c r="N210" s="86"/>
      <c r="O210" s="10"/>
      <c r="Q210" s="6"/>
      <c r="R210" s="6"/>
      <c r="S210" s="68"/>
    </row>
    <row r="211" spans="1:19" s="77" customFormat="1" ht="15.75" customHeight="1" x14ac:dyDescent="0.2">
      <c r="A211" s="74">
        <v>4</v>
      </c>
      <c r="B211" s="28" t="s">
        <v>165</v>
      </c>
      <c r="C211" s="83" t="s">
        <v>162</v>
      </c>
      <c r="D211" s="13">
        <v>575000000</v>
      </c>
      <c r="E211" s="14"/>
      <c r="F211" s="13">
        <f>+D211+E211</f>
        <v>575000000</v>
      </c>
      <c r="G211" s="80">
        <f>+april!I211</f>
        <v>96656000</v>
      </c>
      <c r="H211" s="79">
        <v>15754500</v>
      </c>
      <c r="I211" s="15">
        <f>+G211+H211</f>
        <v>112410500</v>
      </c>
      <c r="J211" s="143">
        <f>+I211/F211</f>
        <v>0.19549652173913043</v>
      </c>
      <c r="K211" s="80">
        <f>+april!M211</f>
        <v>96584000</v>
      </c>
      <c r="L211" s="80">
        <v>15754500</v>
      </c>
      <c r="M211" s="80">
        <f>+K211+L211</f>
        <v>112338500</v>
      </c>
      <c r="N211" s="171">
        <f>+M211/F211</f>
        <v>0.1953713043478261</v>
      </c>
      <c r="O211" s="15">
        <f>+F211-M211</f>
        <v>462661500</v>
      </c>
      <c r="Q211" s="6" t="str">
        <f t="shared" si="107"/>
        <v>OKE</v>
      </c>
      <c r="R211" s="6"/>
      <c r="S211" s="69"/>
    </row>
    <row r="212" spans="1:19" s="77" customFormat="1" ht="14.1" customHeight="1" x14ac:dyDescent="0.2">
      <c r="A212" s="74"/>
      <c r="B212" s="74"/>
      <c r="C212" s="76"/>
      <c r="D212" s="15"/>
      <c r="E212" s="17"/>
      <c r="F212" s="15"/>
      <c r="G212" s="78"/>
      <c r="H212" s="79"/>
      <c r="I212" s="80"/>
      <c r="J212" s="86"/>
      <c r="K212" s="78"/>
      <c r="L212" s="76"/>
      <c r="M212" s="76"/>
      <c r="N212" s="86"/>
      <c r="O212" s="10"/>
      <c r="Q212" s="6"/>
      <c r="R212" s="6"/>
      <c r="S212" s="68"/>
    </row>
    <row r="213" spans="1:19" s="77" customFormat="1" ht="17.25" customHeight="1" x14ac:dyDescent="0.2">
      <c r="A213" s="74">
        <v>5</v>
      </c>
      <c r="B213" s="28" t="s">
        <v>166</v>
      </c>
      <c r="C213" s="83" t="s">
        <v>163</v>
      </c>
      <c r="D213" s="13">
        <v>270000000</v>
      </c>
      <c r="E213" s="14"/>
      <c r="F213" s="13">
        <f>+D213+E213</f>
        <v>270000000</v>
      </c>
      <c r="G213" s="80">
        <f>+april!I213</f>
        <v>51357850</v>
      </c>
      <c r="H213" s="79">
        <v>15048650</v>
      </c>
      <c r="I213" s="15">
        <f>+G213+H213</f>
        <v>66406500</v>
      </c>
      <c r="J213" s="143">
        <f>+I213/F213</f>
        <v>0.24595</v>
      </c>
      <c r="K213" s="80">
        <f>+april!M213</f>
        <v>51357850</v>
      </c>
      <c r="L213" s="80">
        <v>15048650</v>
      </c>
      <c r="M213" s="80">
        <f>+K213+L213</f>
        <v>66406500</v>
      </c>
      <c r="N213" s="171">
        <f>+M213/F213</f>
        <v>0.24595</v>
      </c>
      <c r="O213" s="15">
        <f>+F213-M213</f>
        <v>203593500</v>
      </c>
      <c r="Q213" s="6" t="str">
        <f t="shared" si="107"/>
        <v>OKE</v>
      </c>
      <c r="R213" s="6"/>
      <c r="S213" s="68"/>
    </row>
    <row r="214" spans="1:19" s="77" customFormat="1" ht="14.1" customHeight="1" x14ac:dyDescent="0.2">
      <c r="A214" s="74"/>
      <c r="B214" s="28"/>
      <c r="C214" s="83"/>
      <c r="D214" s="13"/>
      <c r="E214" s="14"/>
      <c r="F214" s="13"/>
      <c r="G214" s="78"/>
      <c r="H214" s="79"/>
      <c r="I214" s="15"/>
      <c r="J214" s="143"/>
      <c r="K214" s="78"/>
      <c r="L214" s="80"/>
      <c r="M214" s="80"/>
      <c r="N214" s="171"/>
      <c r="O214" s="15"/>
      <c r="Q214" s="6"/>
      <c r="R214" s="6"/>
      <c r="S214" s="68"/>
    </row>
    <row r="215" spans="1:19" s="77" customFormat="1" ht="17.25" customHeight="1" x14ac:dyDescent="0.2">
      <c r="A215" s="74">
        <v>6</v>
      </c>
      <c r="B215" s="28" t="s">
        <v>168</v>
      </c>
      <c r="C215" s="83" t="s">
        <v>167</v>
      </c>
      <c r="D215" s="13">
        <v>1800000000</v>
      </c>
      <c r="E215" s="14"/>
      <c r="F215" s="13">
        <f>+D215+E215</f>
        <v>1800000000</v>
      </c>
      <c r="G215" s="80">
        <f>+april!I215</f>
        <v>581027000</v>
      </c>
      <c r="H215" s="79">
        <f>197500000+111925000</f>
        <v>309425000</v>
      </c>
      <c r="I215" s="15">
        <f>+G215+H215</f>
        <v>890452000</v>
      </c>
      <c r="J215" s="143">
        <f>+I215/F215</f>
        <v>0.49469555555555556</v>
      </c>
      <c r="K215" s="80">
        <f>+april!M215</f>
        <v>581027000</v>
      </c>
      <c r="L215" s="80">
        <f>197500000+111925000</f>
        <v>309425000</v>
      </c>
      <c r="M215" s="80">
        <f>+K215+L215</f>
        <v>890452000</v>
      </c>
      <c r="N215" s="171">
        <f>+M215/F215</f>
        <v>0.49469555555555556</v>
      </c>
      <c r="O215" s="15">
        <f>+F215-M215</f>
        <v>909548000</v>
      </c>
      <c r="Q215" s="6" t="str">
        <f t="shared" si="107"/>
        <v>OKE</v>
      </c>
      <c r="R215" s="6"/>
      <c r="S215" s="68"/>
    </row>
    <row r="216" spans="1:19" s="77" customFormat="1" ht="14.1" customHeight="1" x14ac:dyDescent="0.2">
      <c r="A216" s="74"/>
      <c r="B216" s="28"/>
      <c r="C216" s="83"/>
      <c r="D216" s="13"/>
      <c r="E216" s="14"/>
      <c r="F216" s="13"/>
      <c r="G216" s="78"/>
      <c r="H216" s="79"/>
      <c r="I216" s="15"/>
      <c r="J216" s="143"/>
      <c r="K216" s="78"/>
      <c r="L216" s="80"/>
      <c r="M216" s="80"/>
      <c r="N216" s="171"/>
      <c r="O216" s="15"/>
      <c r="Q216" s="6"/>
      <c r="R216" s="6"/>
      <c r="S216" s="68"/>
    </row>
    <row r="217" spans="1:19" s="77" customFormat="1" ht="16.5" customHeight="1" x14ac:dyDescent="0.2">
      <c r="A217" s="74">
        <v>7</v>
      </c>
      <c r="B217" s="28" t="s">
        <v>170</v>
      </c>
      <c r="C217" s="83" t="s">
        <v>169</v>
      </c>
      <c r="D217" s="13">
        <v>961450000</v>
      </c>
      <c r="E217" s="14"/>
      <c r="F217" s="13">
        <f>+D217+E217</f>
        <v>961450000</v>
      </c>
      <c r="G217" s="80">
        <f>+april!I217</f>
        <v>269214000</v>
      </c>
      <c r="H217" s="79">
        <v>163130400</v>
      </c>
      <c r="I217" s="15">
        <f>+G217+H217</f>
        <v>432344400</v>
      </c>
      <c r="J217" s="143">
        <f>+I217/F217</f>
        <v>0.44967954651827968</v>
      </c>
      <c r="K217" s="80">
        <f>+april!M217</f>
        <v>269214000</v>
      </c>
      <c r="L217" s="80">
        <v>163130400</v>
      </c>
      <c r="M217" s="80">
        <f>+K217+L217</f>
        <v>432344400</v>
      </c>
      <c r="N217" s="171">
        <f>+M217/F217</f>
        <v>0.44967954651827968</v>
      </c>
      <c r="O217" s="15">
        <f>+F217-M217</f>
        <v>529105600</v>
      </c>
      <c r="Q217" s="6" t="str">
        <f t="shared" si="107"/>
        <v>OKE</v>
      </c>
      <c r="R217" s="6"/>
      <c r="S217" s="68"/>
    </row>
    <row r="218" spans="1:19" s="77" customFormat="1" ht="14.1" customHeight="1" x14ac:dyDescent="0.2">
      <c r="A218" s="74"/>
      <c r="B218" s="28"/>
      <c r="C218" s="83"/>
      <c r="D218" s="13"/>
      <c r="E218" s="14"/>
      <c r="F218" s="13"/>
      <c r="G218" s="78"/>
      <c r="H218" s="79"/>
      <c r="I218" s="15"/>
      <c r="J218" s="143"/>
      <c r="K218" s="78"/>
      <c r="L218" s="80"/>
      <c r="M218" s="80"/>
      <c r="N218" s="171"/>
      <c r="O218" s="15"/>
      <c r="Q218" s="6"/>
      <c r="R218" s="6"/>
      <c r="S218" s="68"/>
    </row>
    <row r="219" spans="1:19" ht="14.1" customHeight="1" x14ac:dyDescent="0.2">
      <c r="A219" s="81"/>
      <c r="B219" s="81"/>
      <c r="C219" s="23" t="s">
        <v>172</v>
      </c>
      <c r="D219" s="24">
        <f>SUM(D209:D217)</f>
        <v>5266450000</v>
      </c>
      <c r="E219" s="24">
        <f t="shared" ref="E219" si="119">SUM(E209:E217)</f>
        <v>0</v>
      </c>
      <c r="F219" s="141">
        <f>+D219+E219</f>
        <v>5266450000</v>
      </c>
      <c r="G219" s="316">
        <f>SUM(G209:G217)</f>
        <v>1553815150</v>
      </c>
      <c r="H219" s="24">
        <f>SUM(H209:H217)</f>
        <v>756036650</v>
      </c>
      <c r="I219" s="24">
        <f>+G219+H219</f>
        <v>2309851800</v>
      </c>
      <c r="J219" s="175">
        <f>+I219/F219</f>
        <v>0.43859749926421021</v>
      </c>
      <c r="K219" s="316">
        <f>SUM(K209:K218)</f>
        <v>1553743150</v>
      </c>
      <c r="L219" s="24">
        <f>SUM(L209:L218)</f>
        <v>756036650</v>
      </c>
      <c r="M219" s="24">
        <f>+K219+L219</f>
        <v>2309779800</v>
      </c>
      <c r="N219" s="172">
        <f>+M219/F219</f>
        <v>0.43858382781570127</v>
      </c>
      <c r="O219" s="24">
        <f>+F219-M219</f>
        <v>2956670200</v>
      </c>
      <c r="P219" s="77"/>
      <c r="Q219" s="6" t="str">
        <f t="shared" si="107"/>
        <v>OKE</v>
      </c>
      <c r="R219" s="6"/>
    </row>
    <row r="220" spans="1:19" ht="14.1" customHeight="1" x14ac:dyDescent="0.2">
      <c r="A220" s="74"/>
      <c r="B220" s="74"/>
      <c r="C220" s="76"/>
      <c r="D220" s="15"/>
      <c r="E220" s="15"/>
      <c r="F220" s="15"/>
      <c r="G220" s="80"/>
      <c r="H220" s="79"/>
      <c r="I220" s="80"/>
      <c r="J220" s="86"/>
      <c r="K220" s="80"/>
      <c r="L220" s="76"/>
      <c r="M220" s="76"/>
      <c r="N220" s="86"/>
      <c r="O220" s="10"/>
      <c r="P220" s="77"/>
      <c r="Q220" s="6"/>
      <c r="R220" s="6"/>
    </row>
    <row r="221" spans="1:19" ht="14.1" customHeight="1" x14ac:dyDescent="0.2">
      <c r="A221" s="206"/>
      <c r="B221" s="206" t="s">
        <v>173</v>
      </c>
      <c r="C221" s="255" t="s">
        <v>177</v>
      </c>
      <c r="D221" s="209">
        <f>D227</f>
        <v>1022000000</v>
      </c>
      <c r="E221" s="10">
        <f>E227</f>
        <v>0</v>
      </c>
      <c r="F221" s="10">
        <f>+D221+E221</f>
        <v>1022000000</v>
      </c>
      <c r="G221" s="10">
        <f>G227</f>
        <v>403492382</v>
      </c>
      <c r="H221" s="10">
        <f>H227</f>
        <v>95292457</v>
      </c>
      <c r="I221" s="10">
        <f>+G221+H221</f>
        <v>498784839</v>
      </c>
      <c r="J221" s="168">
        <f>+I221/F221</f>
        <v>0.48804778767123286</v>
      </c>
      <c r="K221" s="10">
        <f>K227</f>
        <v>403492382</v>
      </c>
      <c r="L221" s="10">
        <f>L227</f>
        <v>95292457</v>
      </c>
      <c r="M221" s="10">
        <f>+K221+L221</f>
        <v>498784839</v>
      </c>
      <c r="N221" s="169">
        <f>+M221/F221</f>
        <v>0.48804778767123286</v>
      </c>
      <c r="O221" s="10">
        <f>+F221-M221</f>
        <v>523215161</v>
      </c>
      <c r="P221" s="77"/>
      <c r="Q221" s="6" t="str">
        <f t="shared" si="107"/>
        <v>OKE</v>
      </c>
      <c r="R221" s="6"/>
    </row>
    <row r="222" spans="1:19" ht="14.1" customHeight="1" x14ac:dyDescent="0.2">
      <c r="A222" s="74"/>
      <c r="B222" s="74"/>
      <c r="C222" s="76"/>
      <c r="D222" s="15"/>
      <c r="E222" s="15"/>
      <c r="F222" s="15"/>
      <c r="G222" s="80"/>
      <c r="H222" s="79"/>
      <c r="I222" s="80"/>
      <c r="J222" s="86"/>
      <c r="K222" s="80"/>
      <c r="L222" s="76"/>
      <c r="M222" s="76"/>
      <c r="N222" s="86"/>
      <c r="O222" s="10"/>
      <c r="P222" s="77"/>
      <c r="Q222" s="6"/>
      <c r="R222" s="6"/>
    </row>
    <row r="223" spans="1:19" ht="14.1" customHeight="1" x14ac:dyDescent="0.2">
      <c r="A223" s="74">
        <v>8</v>
      </c>
      <c r="B223" s="28" t="s">
        <v>174</v>
      </c>
      <c r="C223" s="27" t="s">
        <v>60</v>
      </c>
      <c r="D223" s="13">
        <v>22000000</v>
      </c>
      <c r="E223" s="14"/>
      <c r="F223" s="13">
        <f>+D223+E223</f>
        <v>22000000</v>
      </c>
      <c r="G223" s="80">
        <f>+april!I223</f>
        <v>4100000</v>
      </c>
      <c r="H223" s="79">
        <v>1300000</v>
      </c>
      <c r="I223" s="15">
        <f t="shared" ref="I223:I225" si="120">+G223+H223</f>
        <v>5400000</v>
      </c>
      <c r="J223" s="143">
        <f>+I223/F223</f>
        <v>0.24545454545454545</v>
      </c>
      <c r="K223" s="80">
        <f>+april!M223</f>
        <v>4100000</v>
      </c>
      <c r="L223" s="80">
        <v>1300000</v>
      </c>
      <c r="M223" s="80">
        <f t="shared" ref="M223" si="121">+K223+L223</f>
        <v>5400000</v>
      </c>
      <c r="N223" s="171">
        <f>+M223/F223</f>
        <v>0.24545454545454545</v>
      </c>
      <c r="O223" s="15">
        <f>+F223-M223</f>
        <v>16600000</v>
      </c>
      <c r="P223" s="77"/>
      <c r="Q223" s="6" t="str">
        <f t="shared" si="107"/>
        <v>OKE</v>
      </c>
      <c r="R223" s="6"/>
    </row>
    <row r="224" spans="1:19" ht="14.1" customHeight="1" x14ac:dyDescent="0.2">
      <c r="A224" s="74"/>
      <c r="B224" s="28"/>
      <c r="C224" s="27"/>
      <c r="D224" s="13"/>
      <c r="E224" s="14"/>
      <c r="F224" s="13"/>
      <c r="G224" s="78"/>
      <c r="H224" s="79"/>
      <c r="I224" s="15"/>
      <c r="J224" s="143"/>
      <c r="K224" s="78"/>
      <c r="L224" s="80"/>
      <c r="M224" s="80"/>
      <c r="N224" s="171"/>
      <c r="O224" s="15"/>
      <c r="P224" s="77"/>
      <c r="Q224" s="6"/>
      <c r="R224" s="6"/>
    </row>
    <row r="225" spans="1:18" ht="14.1" customHeight="1" x14ac:dyDescent="0.2">
      <c r="A225" s="74">
        <v>9</v>
      </c>
      <c r="B225" s="28" t="s">
        <v>175</v>
      </c>
      <c r="C225" s="276" t="s">
        <v>176</v>
      </c>
      <c r="D225" s="13">
        <v>1000000000</v>
      </c>
      <c r="E225" s="14"/>
      <c r="F225" s="13">
        <f>+D225+E225</f>
        <v>1000000000</v>
      </c>
      <c r="G225" s="80">
        <f>+april!I225</f>
        <v>399392382</v>
      </c>
      <c r="H225" s="79">
        <f>71626080+9558500+2805877+10002000</f>
        <v>93992457</v>
      </c>
      <c r="I225" s="15">
        <f t="shared" si="120"/>
        <v>493384839</v>
      </c>
      <c r="J225" s="143">
        <f>+I225/F225</f>
        <v>0.49338483900000002</v>
      </c>
      <c r="K225" s="80">
        <f>+april!M225</f>
        <v>399392382</v>
      </c>
      <c r="L225" s="80">
        <f>71626080+9558500+2805877+10002000</f>
        <v>93992457</v>
      </c>
      <c r="M225" s="80">
        <f>+K225+L225</f>
        <v>493384839</v>
      </c>
      <c r="N225" s="171">
        <f>+M225/F225</f>
        <v>0.49338483900000002</v>
      </c>
      <c r="O225" s="15">
        <f>+F225-M225</f>
        <v>506615161</v>
      </c>
      <c r="P225" s="77"/>
      <c r="Q225" s="6" t="str">
        <f>IF(M225&lt;=I225,"OKE","Salah")</f>
        <v>OKE</v>
      </c>
      <c r="R225" s="6"/>
    </row>
    <row r="226" spans="1:18" ht="14.1" customHeight="1" x14ac:dyDescent="0.2">
      <c r="A226" s="74"/>
      <c r="B226" s="29"/>
      <c r="C226" s="27"/>
      <c r="D226" s="13"/>
      <c r="E226" s="14"/>
      <c r="F226" s="13"/>
      <c r="G226" s="78"/>
      <c r="H226" s="79"/>
      <c r="I226" s="15"/>
      <c r="J226" s="143"/>
      <c r="K226" s="80"/>
      <c r="L226" s="80"/>
      <c r="M226" s="80"/>
      <c r="N226" s="171"/>
      <c r="O226" s="15"/>
      <c r="P226" s="77"/>
      <c r="Q226" s="6"/>
      <c r="R226" s="6"/>
    </row>
    <row r="227" spans="1:18" ht="14.1" customHeight="1" x14ac:dyDescent="0.2">
      <c r="A227" s="81"/>
      <c r="B227" s="81"/>
      <c r="C227" s="23" t="s">
        <v>172</v>
      </c>
      <c r="D227" s="24">
        <f>+D223+D225</f>
        <v>1022000000</v>
      </c>
      <c r="E227" s="24">
        <f>SUM(E223:E226)</f>
        <v>0</v>
      </c>
      <c r="F227" s="141">
        <f>SUM(F223:F226)</f>
        <v>1022000000</v>
      </c>
      <c r="G227" s="24">
        <f t="shared" ref="G227:H227" si="122">+G223+G225</f>
        <v>403492382</v>
      </c>
      <c r="H227" s="24">
        <f t="shared" si="122"/>
        <v>95292457</v>
      </c>
      <c r="I227" s="24">
        <f>+G227+H227</f>
        <v>498784839</v>
      </c>
      <c r="J227" s="175">
        <f>+I227/F227</f>
        <v>0.48804778767123286</v>
      </c>
      <c r="K227" s="24">
        <f>SUM(K223:K226)</f>
        <v>403492382</v>
      </c>
      <c r="L227" s="24">
        <f>SUM(L223:L226)</f>
        <v>95292457</v>
      </c>
      <c r="M227" s="24">
        <f>+K227+L227</f>
        <v>498784839</v>
      </c>
      <c r="N227" s="172">
        <f>+M227/F227</f>
        <v>0.48804778767123286</v>
      </c>
      <c r="O227" s="24">
        <f>+F227-M227</f>
        <v>523215161</v>
      </c>
      <c r="P227" s="77"/>
      <c r="Q227" s="6" t="str">
        <f t="shared" si="107"/>
        <v>OKE</v>
      </c>
      <c r="R227" s="6"/>
    </row>
    <row r="228" spans="1:18" ht="15" customHeight="1" x14ac:dyDescent="0.2">
      <c r="A228" s="87"/>
      <c r="B228" s="87"/>
      <c r="C228" s="148"/>
      <c r="D228" s="149"/>
      <c r="E228" s="149"/>
      <c r="F228" s="149"/>
      <c r="G228" s="149"/>
      <c r="H228" s="149"/>
      <c r="I228" s="149"/>
      <c r="J228" s="177"/>
      <c r="K228" s="149"/>
      <c r="L228" s="149"/>
      <c r="M228" s="149"/>
      <c r="N228" s="174"/>
      <c r="O228" s="149"/>
      <c r="P228" s="77"/>
      <c r="Q228" s="6"/>
      <c r="R228" s="6"/>
    </row>
    <row r="229" spans="1:18" ht="15" customHeight="1" x14ac:dyDescent="0.2">
      <c r="A229" s="206"/>
      <c r="B229" s="206" t="s">
        <v>179</v>
      </c>
      <c r="C229" s="282" t="s">
        <v>178</v>
      </c>
      <c r="D229" s="209">
        <f>+D237</f>
        <v>2410000000</v>
      </c>
      <c r="E229" s="10">
        <f t="shared" ref="E229:F229" si="123">+E237</f>
        <v>0</v>
      </c>
      <c r="F229" s="10">
        <f t="shared" si="123"/>
        <v>2410000000</v>
      </c>
      <c r="G229" s="10">
        <f>+G237</f>
        <v>497524493</v>
      </c>
      <c r="H229" s="11">
        <f>+H237</f>
        <v>137413007</v>
      </c>
      <c r="I229" s="10">
        <f>+G229+H229</f>
        <v>634937500</v>
      </c>
      <c r="J229" s="168">
        <f>+I229/F229</f>
        <v>0.26345954356846474</v>
      </c>
      <c r="K229" s="10">
        <f>+K237</f>
        <v>497524493</v>
      </c>
      <c r="L229" s="10">
        <f>+L237</f>
        <v>137413007</v>
      </c>
      <c r="M229" s="10">
        <f>+K229+L229</f>
        <v>634937500</v>
      </c>
      <c r="N229" s="169">
        <f>+M229/F229</f>
        <v>0.26345954356846474</v>
      </c>
      <c r="O229" s="10">
        <f>+F229-M229</f>
        <v>1775062500</v>
      </c>
      <c r="P229" s="77"/>
      <c r="Q229" s="6" t="str">
        <f t="shared" ref="Q229:Q237" si="124">IF(M229&lt;=I229,"OKE","Salah")</f>
        <v>OKE</v>
      </c>
      <c r="R229" s="6"/>
    </row>
    <row r="230" spans="1:18" ht="15" customHeight="1" x14ac:dyDescent="0.2">
      <c r="A230" s="74"/>
      <c r="B230" s="74"/>
      <c r="C230" s="76"/>
      <c r="D230" s="15"/>
      <c r="E230" s="15"/>
      <c r="F230" s="15"/>
      <c r="G230" s="80"/>
      <c r="H230" s="79"/>
      <c r="I230" s="80"/>
      <c r="J230" s="86"/>
      <c r="K230" s="80"/>
      <c r="L230" s="76"/>
      <c r="M230" s="76"/>
      <c r="N230" s="86"/>
      <c r="O230" s="10"/>
      <c r="P230" s="77"/>
      <c r="Q230" s="6"/>
      <c r="R230" s="6"/>
    </row>
    <row r="231" spans="1:18" ht="28.5" customHeight="1" x14ac:dyDescent="0.2">
      <c r="A231" s="74">
        <v>10</v>
      </c>
      <c r="B231" s="207" t="s">
        <v>181</v>
      </c>
      <c r="C231" s="276" t="s">
        <v>180</v>
      </c>
      <c r="D231" s="213">
        <v>910000000</v>
      </c>
      <c r="E231" s="14"/>
      <c r="F231" s="13">
        <f>+D231+E231</f>
        <v>910000000</v>
      </c>
      <c r="G231" s="80">
        <f>+april!I231</f>
        <v>223540543</v>
      </c>
      <c r="H231" s="79">
        <f>26064580+41030977</f>
        <v>67095557</v>
      </c>
      <c r="I231" s="15">
        <f>+G231+H231</f>
        <v>290636100</v>
      </c>
      <c r="J231" s="143">
        <f>+I231/F231</f>
        <v>0.31938032967032964</v>
      </c>
      <c r="K231" s="80">
        <f>+april!M231</f>
        <v>223540543</v>
      </c>
      <c r="L231" s="80">
        <f>26064580+41030977</f>
        <v>67095557</v>
      </c>
      <c r="M231" s="80">
        <f>+K231+L231</f>
        <v>290636100</v>
      </c>
      <c r="N231" s="171">
        <f>+M231/F231</f>
        <v>0.31938032967032964</v>
      </c>
      <c r="O231" s="15">
        <f>+F231-M231</f>
        <v>619363900</v>
      </c>
      <c r="P231" s="77"/>
      <c r="Q231" s="6" t="str">
        <f t="shared" ref="Q231" si="125">IF(M231&lt;=I231,"OKE","Salah")</f>
        <v>OKE</v>
      </c>
      <c r="R231" s="6"/>
    </row>
    <row r="232" spans="1:18" ht="15" customHeight="1" x14ac:dyDescent="0.2">
      <c r="A232" s="74"/>
      <c r="B232" s="74"/>
      <c r="C232" s="83"/>
      <c r="D232" s="15"/>
      <c r="E232" s="17"/>
      <c r="F232" s="15"/>
      <c r="G232" s="78"/>
      <c r="H232" s="79"/>
      <c r="I232" s="80"/>
      <c r="J232" s="86"/>
      <c r="K232" s="78"/>
      <c r="L232" s="76"/>
      <c r="M232" s="76"/>
      <c r="N232" s="86"/>
      <c r="O232" s="10"/>
      <c r="P232" s="77"/>
      <c r="Q232" s="6"/>
      <c r="R232" s="6"/>
    </row>
    <row r="233" spans="1:18" ht="30.75" customHeight="1" x14ac:dyDescent="0.2">
      <c r="A233" s="74">
        <v>11</v>
      </c>
      <c r="B233" s="220" t="s">
        <v>209</v>
      </c>
      <c r="C233" s="274" t="s">
        <v>208</v>
      </c>
      <c r="D233" s="13">
        <v>1000000000</v>
      </c>
      <c r="E233" s="14"/>
      <c r="F233" s="13">
        <f>E233+D233</f>
        <v>1000000000</v>
      </c>
      <c r="G233" s="80">
        <f>+april!I233</f>
        <v>178137200</v>
      </c>
      <c r="H233" s="79">
        <v>32179200</v>
      </c>
      <c r="I233" s="15">
        <f>+G233+H233</f>
        <v>210316400</v>
      </c>
      <c r="J233" s="143">
        <f>+I233/F233</f>
        <v>0.21031639999999999</v>
      </c>
      <c r="K233" s="80">
        <f>+april!M233</f>
        <v>178137200</v>
      </c>
      <c r="L233" s="80">
        <v>32179200</v>
      </c>
      <c r="M233" s="80">
        <f>+K233+L233</f>
        <v>210316400</v>
      </c>
      <c r="N233" s="171">
        <f>+M233/D233</f>
        <v>0.21031639999999999</v>
      </c>
      <c r="O233" s="15">
        <f>+F233-M233</f>
        <v>789683600</v>
      </c>
      <c r="P233" s="83"/>
      <c r="Q233" s="6" t="str">
        <f t="shared" ref="Q233" si="126">IF(M233&lt;=I233,"OKE","Salah")</f>
        <v>OKE</v>
      </c>
      <c r="R233" s="6"/>
    </row>
    <row r="234" spans="1:18" ht="15" customHeight="1" x14ac:dyDescent="0.2">
      <c r="A234" s="74"/>
      <c r="B234" s="218"/>
      <c r="C234" s="25"/>
      <c r="D234" s="13"/>
      <c r="E234" s="14"/>
      <c r="F234" s="13"/>
      <c r="G234" s="78"/>
      <c r="H234" s="79"/>
      <c r="I234" s="15"/>
      <c r="J234" s="143"/>
      <c r="K234" s="78"/>
      <c r="L234" s="80"/>
      <c r="M234" s="80"/>
      <c r="N234" s="171"/>
      <c r="O234" s="15"/>
      <c r="P234" s="83"/>
      <c r="Q234" s="6"/>
      <c r="R234" s="6"/>
    </row>
    <row r="235" spans="1:18" ht="30.75" customHeight="1" x14ac:dyDescent="0.2">
      <c r="A235" s="74">
        <v>12</v>
      </c>
      <c r="B235" s="220" t="s">
        <v>211</v>
      </c>
      <c r="C235" s="275" t="s">
        <v>210</v>
      </c>
      <c r="D235" s="15">
        <v>500000000</v>
      </c>
      <c r="E235" s="15"/>
      <c r="F235" s="13">
        <f>E235+D235</f>
        <v>500000000</v>
      </c>
      <c r="G235" s="80">
        <f>+april!I235</f>
        <v>95846750</v>
      </c>
      <c r="H235" s="79">
        <f>13200000+24938250</f>
        <v>38138250</v>
      </c>
      <c r="I235" s="15">
        <f>+G235+H235</f>
        <v>133985000</v>
      </c>
      <c r="J235" s="143">
        <f>+I235/F235</f>
        <v>0.26796999999999999</v>
      </c>
      <c r="K235" s="80">
        <f>+april!M235</f>
        <v>95846750</v>
      </c>
      <c r="L235" s="80">
        <f>13200000+24938250</f>
        <v>38138250</v>
      </c>
      <c r="M235" s="80">
        <f>+K235+L235</f>
        <v>133985000</v>
      </c>
      <c r="N235" s="171">
        <f>+M235/D235</f>
        <v>0.26796999999999999</v>
      </c>
      <c r="O235" s="15">
        <f>+F235-M235</f>
        <v>366015000</v>
      </c>
      <c r="P235" s="83"/>
      <c r="Q235" s="6" t="str">
        <f t="shared" ref="Q235" si="127">IF(M235&lt;=I235,"OKE","Salah")</f>
        <v>OKE</v>
      </c>
      <c r="R235" s="6"/>
    </row>
    <row r="236" spans="1:18" ht="15" customHeight="1" x14ac:dyDescent="0.2">
      <c r="A236" s="74"/>
      <c r="B236" s="74"/>
      <c r="C236" s="83"/>
      <c r="D236" s="15"/>
      <c r="E236" s="17"/>
      <c r="F236" s="15"/>
      <c r="G236" s="78"/>
      <c r="H236" s="79"/>
      <c r="I236" s="80"/>
      <c r="J236" s="86"/>
      <c r="K236" s="78"/>
      <c r="L236" s="76"/>
      <c r="M236" s="76"/>
      <c r="N236" s="86"/>
      <c r="O236" s="10"/>
      <c r="P236" s="77"/>
      <c r="Q236" s="6"/>
      <c r="R236" s="6"/>
    </row>
    <row r="237" spans="1:18" ht="18.75" customHeight="1" x14ac:dyDescent="0.2">
      <c r="A237" s="139"/>
      <c r="B237" s="139"/>
      <c r="C237" s="140" t="s">
        <v>172</v>
      </c>
      <c r="D237" s="141">
        <f>+D231+D233+D235</f>
        <v>2410000000</v>
      </c>
      <c r="E237" s="141">
        <f>+E231</f>
        <v>0</v>
      </c>
      <c r="F237" s="141">
        <f>+D237+E237</f>
        <v>2410000000</v>
      </c>
      <c r="G237" s="141">
        <f>+G231+G233+G235</f>
        <v>497524493</v>
      </c>
      <c r="H237" s="141">
        <f>+H231+H233+H235</f>
        <v>137413007</v>
      </c>
      <c r="I237" s="141">
        <f>+G237+H237</f>
        <v>634937500</v>
      </c>
      <c r="J237" s="176">
        <f>+I237/F237</f>
        <v>0.26345954356846474</v>
      </c>
      <c r="K237" s="141">
        <f>+K231+K233+K235</f>
        <v>497524493</v>
      </c>
      <c r="L237" s="141">
        <f>+L231+L233+L235</f>
        <v>137413007</v>
      </c>
      <c r="M237" s="141">
        <f>+K237+L237</f>
        <v>634937500</v>
      </c>
      <c r="N237" s="173">
        <f>+M237/F237</f>
        <v>0.26345954356846474</v>
      </c>
      <c r="O237" s="141">
        <f>+F237-M237</f>
        <v>1775062500</v>
      </c>
      <c r="P237" s="77"/>
      <c r="Q237" s="6" t="str">
        <f t="shared" si="124"/>
        <v>OKE</v>
      </c>
      <c r="R237" s="6"/>
    </row>
    <row r="238" spans="1:18" ht="15.95" customHeight="1" x14ac:dyDescent="0.2">
      <c r="A238" s="87"/>
      <c r="B238" s="182"/>
      <c r="C238" s="4"/>
      <c r="D238" s="183"/>
      <c r="E238" s="183"/>
      <c r="F238" s="183"/>
      <c r="G238" s="256"/>
      <c r="H238" s="257"/>
      <c r="I238" s="184"/>
      <c r="J238" s="185"/>
      <c r="K238" s="256"/>
      <c r="L238" s="256"/>
      <c r="M238" s="256"/>
      <c r="N238" s="186"/>
      <c r="O238" s="184"/>
      <c r="P238" s="77"/>
      <c r="Q238" s="6"/>
      <c r="R238" s="6"/>
    </row>
    <row r="239" spans="1:18" ht="15.95" customHeight="1" x14ac:dyDescent="0.2">
      <c r="A239" s="74"/>
      <c r="B239" s="214" t="s">
        <v>304</v>
      </c>
      <c r="C239" s="208" t="s">
        <v>277</v>
      </c>
      <c r="D239" s="178">
        <f>+D241</f>
        <v>1017000000</v>
      </c>
      <c r="E239" s="14"/>
      <c r="F239" s="178">
        <f>+D239+E239</f>
        <v>1017000000</v>
      </c>
      <c r="G239" s="178">
        <f t="shared" ref="G239:H239" si="128">+G241+G249</f>
        <v>288150000</v>
      </c>
      <c r="H239" s="178">
        <f t="shared" si="128"/>
        <v>72037500</v>
      </c>
      <c r="I239" s="10">
        <f>+G239+H239</f>
        <v>360187500</v>
      </c>
      <c r="J239" s="168">
        <f>+I239/F239</f>
        <v>0.35416666666666669</v>
      </c>
      <c r="K239" s="178">
        <f t="shared" ref="K239:L239" si="129">+K241+K249</f>
        <v>288150000</v>
      </c>
      <c r="L239" s="178">
        <f t="shared" si="129"/>
        <v>72037500</v>
      </c>
      <c r="M239" s="180">
        <f>+K239+L239</f>
        <v>360187500</v>
      </c>
      <c r="N239" s="169">
        <f>+M239/F239</f>
        <v>0.35416666666666669</v>
      </c>
      <c r="O239" s="10">
        <f>+F239-M239</f>
        <v>656812500</v>
      </c>
      <c r="P239" s="83"/>
      <c r="Q239" s="6" t="str">
        <f t="shared" ref="Q239" si="130">IF(M239&lt;=I239,"OKE","Salah")</f>
        <v>OKE</v>
      </c>
      <c r="R239" s="6"/>
    </row>
    <row r="240" spans="1:18" ht="15.95" customHeight="1" x14ac:dyDescent="0.2">
      <c r="A240" s="74"/>
      <c r="B240" s="74"/>
      <c r="C240" s="76"/>
      <c r="D240" s="15"/>
      <c r="E240" s="15"/>
      <c r="F240" s="15"/>
      <c r="G240" s="80"/>
      <c r="H240" s="79"/>
      <c r="I240" s="80"/>
      <c r="J240" s="86"/>
      <c r="K240" s="80"/>
      <c r="L240" s="76"/>
      <c r="M240" s="76"/>
      <c r="N240" s="86"/>
      <c r="O240" s="10"/>
      <c r="P240" s="83"/>
      <c r="Q240" s="6"/>
      <c r="R240" s="6"/>
    </row>
    <row r="241" spans="1:19" ht="27" customHeight="1" x14ac:dyDescent="0.2">
      <c r="A241" s="74">
        <v>11</v>
      </c>
      <c r="B241" s="29" t="s">
        <v>303</v>
      </c>
      <c r="C241" s="219" t="s">
        <v>312</v>
      </c>
      <c r="D241" s="13">
        <v>1017000000</v>
      </c>
      <c r="E241" s="14"/>
      <c r="F241" s="13">
        <f>+D241+E241</f>
        <v>1017000000</v>
      </c>
      <c r="G241" s="80">
        <f>+april!I241</f>
        <v>288150000</v>
      </c>
      <c r="H241" s="79">
        <v>72037500</v>
      </c>
      <c r="I241" s="15">
        <f>+G241+H241</f>
        <v>360187500</v>
      </c>
      <c r="J241" s="143">
        <f>+I241/F241</f>
        <v>0.35416666666666669</v>
      </c>
      <c r="K241" s="80">
        <f>+april!M241</f>
        <v>288150000</v>
      </c>
      <c r="L241" s="80">
        <v>72037500</v>
      </c>
      <c r="M241" s="80">
        <f>+K241+L241</f>
        <v>360187500</v>
      </c>
      <c r="N241" s="171">
        <f>+M241/F241</f>
        <v>0.35416666666666669</v>
      </c>
      <c r="O241" s="15">
        <f>+F241-M241</f>
        <v>656812500</v>
      </c>
      <c r="P241" s="83"/>
      <c r="Q241" s="6" t="str">
        <f t="shared" ref="Q241" si="131">IF(M241&lt;=I241,"OKE","Salah")</f>
        <v>OKE</v>
      </c>
      <c r="R241" s="6"/>
    </row>
    <row r="242" spans="1:19" ht="16.5" customHeight="1" x14ac:dyDescent="0.2">
      <c r="A242" s="74"/>
      <c r="B242" s="29"/>
      <c r="C242" s="219"/>
      <c r="D242" s="13"/>
      <c r="E242" s="14"/>
      <c r="F242" s="13"/>
      <c r="G242" s="78"/>
      <c r="H242" s="79"/>
      <c r="I242" s="15"/>
      <c r="J242" s="143"/>
      <c r="K242" s="78"/>
      <c r="L242" s="80"/>
      <c r="M242" s="80"/>
      <c r="N242" s="171"/>
      <c r="O242" s="15"/>
      <c r="P242" s="77"/>
      <c r="Q242" s="6"/>
      <c r="R242" s="6"/>
    </row>
    <row r="243" spans="1:19" ht="17.25" customHeight="1" x14ac:dyDescent="0.2">
      <c r="A243" s="139"/>
      <c r="B243" s="139"/>
      <c r="C243" s="140" t="s">
        <v>172</v>
      </c>
      <c r="D243" s="141">
        <f>+D241</f>
        <v>1017000000</v>
      </c>
      <c r="E243" s="141">
        <f>+E241</f>
        <v>0</v>
      </c>
      <c r="F243" s="141">
        <f>+F241</f>
        <v>1017000000</v>
      </c>
      <c r="G243" s="141">
        <f t="shared" ref="G243:H243" si="132">+G241</f>
        <v>288150000</v>
      </c>
      <c r="H243" s="141">
        <f t="shared" si="132"/>
        <v>72037500</v>
      </c>
      <c r="I243" s="141">
        <f>+G243+H243</f>
        <v>360187500</v>
      </c>
      <c r="J243" s="176">
        <f>+I243/F243</f>
        <v>0.35416666666666669</v>
      </c>
      <c r="K243" s="141">
        <f>+K241</f>
        <v>288150000</v>
      </c>
      <c r="L243" s="141">
        <f>+L241</f>
        <v>72037500</v>
      </c>
      <c r="M243" s="141">
        <f>+K243+L243</f>
        <v>360187500</v>
      </c>
      <c r="N243" s="173">
        <f>+M243/F243</f>
        <v>0.35416666666666669</v>
      </c>
      <c r="O243" s="141">
        <f>+F243-M243</f>
        <v>656812500</v>
      </c>
      <c r="P243" s="77"/>
      <c r="Q243" s="6" t="str">
        <f t="shared" ref="Q243" si="133">IF(M243&lt;=I243,"OKE","Salah")</f>
        <v>OKE</v>
      </c>
      <c r="R243" s="6"/>
    </row>
    <row r="244" spans="1:19" ht="15.95" customHeight="1" x14ac:dyDescent="0.2">
      <c r="A244" s="74"/>
      <c r="B244" s="29"/>
      <c r="C244" s="8"/>
      <c r="D244" s="13"/>
      <c r="E244" s="13"/>
      <c r="F244" s="13"/>
      <c r="G244" s="80"/>
      <c r="H244" s="79"/>
      <c r="I244" s="15"/>
      <c r="J244" s="143"/>
      <c r="K244" s="80"/>
      <c r="L244" s="80"/>
      <c r="M244" s="80"/>
      <c r="N244" s="171"/>
      <c r="O244" s="15"/>
      <c r="P244" s="77"/>
      <c r="Q244" s="6"/>
      <c r="R244" s="6"/>
    </row>
    <row r="245" spans="1:19" ht="15.95" customHeight="1" x14ac:dyDescent="0.2">
      <c r="A245" s="74"/>
      <c r="B245" s="29"/>
      <c r="C245" s="8"/>
      <c r="D245" s="13"/>
      <c r="E245" s="13"/>
      <c r="F245" s="13"/>
      <c r="G245" s="80"/>
      <c r="H245" s="79"/>
      <c r="I245" s="15"/>
      <c r="J245" s="143"/>
      <c r="K245" s="80"/>
      <c r="L245" s="80"/>
      <c r="M245" s="80"/>
      <c r="N245" s="171"/>
      <c r="O245" s="15"/>
      <c r="P245" s="77"/>
      <c r="Q245" s="6"/>
      <c r="R245" s="6"/>
    </row>
    <row r="246" spans="1:19" ht="23.25" customHeight="1" x14ac:dyDescent="0.2">
      <c r="A246" s="7"/>
      <c r="B246" s="206" t="s">
        <v>183</v>
      </c>
      <c r="C246" s="346" t="s">
        <v>182</v>
      </c>
      <c r="D246" s="10">
        <f>+D248+D250</f>
        <v>2300000000</v>
      </c>
      <c r="E246" s="10">
        <f t="shared" ref="E246:F246" si="134">+E248+E250</f>
        <v>0</v>
      </c>
      <c r="F246" s="10">
        <f t="shared" si="134"/>
        <v>2300000000</v>
      </c>
      <c r="G246" s="10">
        <f t="shared" ref="G246:H246" si="135">+G252</f>
        <v>546369641</v>
      </c>
      <c r="H246" s="11">
        <f t="shared" si="135"/>
        <v>145023216</v>
      </c>
      <c r="I246" s="10">
        <f>+G246+H246</f>
        <v>691392857</v>
      </c>
      <c r="J246" s="168">
        <f>+I246/F246</f>
        <v>0.30060558999999998</v>
      </c>
      <c r="K246" s="10">
        <f t="shared" ref="K246:L246" si="136">+K248+K250</f>
        <v>544029744</v>
      </c>
      <c r="L246" s="10">
        <f t="shared" si="136"/>
        <v>145053381</v>
      </c>
      <c r="M246" s="10">
        <f>+K246+L246</f>
        <v>689083125</v>
      </c>
      <c r="N246" s="169">
        <f>+M246/F246</f>
        <v>0.29960135869565219</v>
      </c>
      <c r="O246" s="10">
        <f>+F246-M246</f>
        <v>1610916875</v>
      </c>
      <c r="P246" s="77"/>
      <c r="Q246" s="6" t="str">
        <f t="shared" ref="Q246:Q309" si="137">IF(M246&lt;=I246,"OKE","Salah")</f>
        <v>OKE</v>
      </c>
      <c r="R246" s="6"/>
    </row>
    <row r="247" spans="1:19" ht="15.95" customHeight="1" x14ac:dyDescent="0.2">
      <c r="A247" s="74"/>
      <c r="B247" s="74"/>
      <c r="C247" s="76"/>
      <c r="D247" s="15"/>
      <c r="E247" s="15"/>
      <c r="F247" s="15"/>
      <c r="G247" s="80"/>
      <c r="H247" s="79"/>
      <c r="I247" s="80"/>
      <c r="J247" s="86"/>
      <c r="K247" s="80"/>
      <c r="L247" s="76"/>
      <c r="M247" s="76"/>
      <c r="N247" s="86"/>
      <c r="O247" s="10"/>
      <c r="P247" s="77"/>
      <c r="Q247" s="6"/>
      <c r="R247" s="6"/>
    </row>
    <row r="248" spans="1:19" ht="15.95" customHeight="1" x14ac:dyDescent="0.2">
      <c r="A248" s="74">
        <v>12</v>
      </c>
      <c r="B248" s="207" t="s">
        <v>185</v>
      </c>
      <c r="C248" s="457" t="s">
        <v>184</v>
      </c>
      <c r="D248" s="13">
        <v>2100000000</v>
      </c>
      <c r="E248" s="14"/>
      <c r="F248" s="13">
        <f>+D248+E248</f>
        <v>2100000000</v>
      </c>
      <c r="G248" s="80">
        <f>+april!I248</f>
        <v>486336641</v>
      </c>
      <c r="H248" s="79">
        <f>28365500+116657716</f>
        <v>145023216</v>
      </c>
      <c r="I248" s="15">
        <f>+G248+H248</f>
        <v>631359857</v>
      </c>
      <c r="J248" s="143">
        <f>+I248/F248</f>
        <v>0.30064755095238094</v>
      </c>
      <c r="K248" s="80">
        <f>+april!M248</f>
        <v>483996744</v>
      </c>
      <c r="L248" s="80">
        <f>28365500+116687881</f>
        <v>145053381</v>
      </c>
      <c r="M248" s="80">
        <f>+K248+L248</f>
        <v>629050125</v>
      </c>
      <c r="N248" s="171">
        <f>+M248/F248</f>
        <v>0.29954767857142856</v>
      </c>
      <c r="O248" s="15">
        <f>+F248-M248</f>
        <v>1470949875</v>
      </c>
      <c r="P248" s="77"/>
      <c r="Q248" s="6" t="str">
        <f t="shared" si="137"/>
        <v>OKE</v>
      </c>
      <c r="R248" s="6"/>
    </row>
    <row r="249" spans="1:19" ht="21" customHeight="1" x14ac:dyDescent="0.2">
      <c r="A249" s="74"/>
      <c r="B249" s="29"/>
      <c r="C249" s="457"/>
      <c r="D249" s="13"/>
      <c r="E249" s="14"/>
      <c r="F249" s="13"/>
      <c r="G249" s="78"/>
      <c r="H249" s="79"/>
      <c r="I249" s="15"/>
      <c r="J249" s="143"/>
      <c r="K249" s="80"/>
      <c r="L249" s="80"/>
      <c r="M249" s="80"/>
      <c r="N249" s="171"/>
      <c r="O249" s="15"/>
      <c r="P249" s="77"/>
      <c r="Q249" s="6"/>
      <c r="R249" s="6"/>
    </row>
    <row r="250" spans="1:19" ht="30.75" customHeight="1" x14ac:dyDescent="0.2">
      <c r="A250" s="74">
        <v>13</v>
      </c>
      <c r="B250" s="207" t="s">
        <v>186</v>
      </c>
      <c r="C250" s="276" t="s">
        <v>187</v>
      </c>
      <c r="D250" s="213">
        <v>200000000</v>
      </c>
      <c r="E250" s="14"/>
      <c r="F250" s="13">
        <f>+D250+E250</f>
        <v>200000000</v>
      </c>
      <c r="G250" s="80">
        <f>+april!I250</f>
        <v>60033000</v>
      </c>
      <c r="H250" s="79">
        <v>0</v>
      </c>
      <c r="I250" s="15">
        <f>+G250+H250</f>
        <v>60033000</v>
      </c>
      <c r="J250" s="143">
        <f>+I250/F250</f>
        <v>0.30016500000000002</v>
      </c>
      <c r="K250" s="80">
        <f>+april!M250</f>
        <v>60033000</v>
      </c>
      <c r="L250" s="80">
        <v>0</v>
      </c>
      <c r="M250" s="80">
        <f>+K250+L250</f>
        <v>60033000</v>
      </c>
      <c r="N250" s="171">
        <f>+M250/F250</f>
        <v>0.30016500000000002</v>
      </c>
      <c r="O250" s="15">
        <f>+F250-M250</f>
        <v>139967000</v>
      </c>
      <c r="P250" s="77"/>
      <c r="Q250" s="6" t="str">
        <f t="shared" ref="Q250" si="138">IF(M250&lt;=I250,"OKE","Salah")</f>
        <v>OKE</v>
      </c>
      <c r="R250" s="6"/>
    </row>
    <row r="251" spans="1:19" ht="15.95" customHeight="1" x14ac:dyDescent="0.2">
      <c r="A251" s="74"/>
      <c r="B251" s="74"/>
      <c r="C251" s="76"/>
      <c r="D251" s="15"/>
      <c r="E251" s="15"/>
      <c r="F251" s="15"/>
      <c r="G251" s="80"/>
      <c r="H251" s="79"/>
      <c r="I251" s="80"/>
      <c r="J251" s="86"/>
      <c r="K251" s="80"/>
      <c r="L251" s="76"/>
      <c r="M251" s="76"/>
      <c r="N251" s="86"/>
      <c r="O251" s="10"/>
      <c r="P251" s="77"/>
      <c r="Q251" s="6"/>
      <c r="R251" s="6"/>
    </row>
    <row r="252" spans="1:19" ht="20.25" customHeight="1" x14ac:dyDescent="0.2">
      <c r="A252" s="139"/>
      <c r="B252" s="139"/>
      <c r="C252" s="140" t="s">
        <v>113</v>
      </c>
      <c r="D252" s="141">
        <f>SUM(D248:D250)</f>
        <v>2300000000</v>
      </c>
      <c r="E252" s="141">
        <f t="shared" ref="E252" si="139">SUM(E248:E250)</f>
        <v>0</v>
      </c>
      <c r="F252" s="141">
        <f>+D252+E252</f>
        <v>2300000000</v>
      </c>
      <c r="G252" s="141">
        <f>SUM(G248:G250)</f>
        <v>546369641</v>
      </c>
      <c r="H252" s="141">
        <f>SUM(H248:H250)</f>
        <v>145023216</v>
      </c>
      <c r="I252" s="141">
        <f>+G252+H252</f>
        <v>691392857</v>
      </c>
      <c r="J252" s="176">
        <f>+I252/F252</f>
        <v>0.30060558999999998</v>
      </c>
      <c r="K252" s="141">
        <f t="shared" ref="K252:L252" si="140">SUM(K248:K250)</f>
        <v>544029744</v>
      </c>
      <c r="L252" s="141">
        <f t="shared" si="140"/>
        <v>145053381</v>
      </c>
      <c r="M252" s="141">
        <f>+M248</f>
        <v>629050125</v>
      </c>
      <c r="N252" s="173">
        <f>+M252/F252</f>
        <v>0.27350005434782609</v>
      </c>
      <c r="O252" s="141">
        <f>+D252-M252</f>
        <v>1670949875</v>
      </c>
      <c r="P252" s="77"/>
      <c r="Q252" s="6" t="str">
        <f t="shared" si="137"/>
        <v>OKE</v>
      </c>
      <c r="R252" s="6"/>
    </row>
    <row r="253" spans="1:19" ht="8.25" customHeight="1" x14ac:dyDescent="0.2">
      <c r="A253" s="74"/>
      <c r="B253" s="74"/>
      <c r="C253" s="9"/>
      <c r="D253" s="10"/>
      <c r="E253" s="10"/>
      <c r="F253" s="10"/>
      <c r="G253" s="10"/>
      <c r="H253" s="10"/>
      <c r="I253" s="10"/>
      <c r="J253" s="168"/>
      <c r="K253" s="10"/>
      <c r="L253" s="10"/>
      <c r="M253" s="10"/>
      <c r="N253" s="169"/>
      <c r="O253" s="10"/>
      <c r="P253" s="77"/>
      <c r="Q253" s="6"/>
      <c r="R253" s="6"/>
    </row>
    <row r="254" spans="1:19" ht="15.95" customHeight="1" x14ac:dyDescent="0.2">
      <c r="A254" s="74"/>
      <c r="B254" s="74"/>
      <c r="C254" s="9"/>
      <c r="D254" s="10"/>
      <c r="E254" s="10"/>
      <c r="F254" s="10"/>
      <c r="G254" s="10"/>
      <c r="H254" s="11"/>
      <c r="I254" s="10"/>
      <c r="J254" s="176"/>
      <c r="K254" s="10"/>
      <c r="L254" s="10"/>
      <c r="M254" s="10"/>
      <c r="N254" s="169"/>
      <c r="O254" s="10"/>
      <c r="P254" s="77"/>
      <c r="Q254" s="6"/>
      <c r="R254" s="6"/>
      <c r="S254" s="190">
        <f>+S464+S468</f>
        <v>1661274735</v>
      </c>
    </row>
    <row r="255" spans="1:19" ht="11.25" customHeight="1" x14ac:dyDescent="0.2">
      <c r="A255" s="388"/>
      <c r="B255" s="388"/>
      <c r="C255" s="395" t="s">
        <v>76</v>
      </c>
      <c r="D255" s="364">
        <f>+D205+D219+D227+D237+D243+D252</f>
        <v>12180425000</v>
      </c>
      <c r="E255" s="364">
        <f>+E219+E227+E237+E252</f>
        <v>0</v>
      </c>
      <c r="F255" s="364">
        <f>+D255+E255</f>
        <v>12180425000</v>
      </c>
      <c r="G255" s="455">
        <f>+G205+G219+G227+G237+G243+G252</f>
        <v>3291601666</v>
      </c>
      <c r="H255" s="364">
        <f>+H205+H219+H227+H237+H243+H252</f>
        <v>1312227830</v>
      </c>
      <c r="I255" s="364">
        <f>+G255+H255</f>
        <v>4603829496</v>
      </c>
      <c r="J255" s="408">
        <f>+I255/F255</f>
        <v>0.37796952864945188</v>
      </c>
      <c r="K255" s="455">
        <f>+K205+K219+K227+K237+K243+K252</f>
        <v>3289189769</v>
      </c>
      <c r="L255" s="364">
        <f>+L205+L219+L227+L237+L243+L252</f>
        <v>1312257995</v>
      </c>
      <c r="M255" s="364">
        <f>+K255+L255</f>
        <v>4601447764</v>
      </c>
      <c r="N255" s="366">
        <f>+M255/F255</f>
        <v>0.3777739909732214</v>
      </c>
      <c r="O255" s="364">
        <f>+F255-M255</f>
        <v>7578977236</v>
      </c>
      <c r="P255" s="77"/>
      <c r="Q255" s="6" t="str">
        <f t="shared" si="137"/>
        <v>OKE</v>
      </c>
      <c r="R255" s="6"/>
    </row>
    <row r="256" spans="1:19" ht="15" thickBot="1" x14ac:dyDescent="0.25">
      <c r="A256" s="389"/>
      <c r="B256" s="389"/>
      <c r="C256" s="396"/>
      <c r="D256" s="396"/>
      <c r="E256" s="396"/>
      <c r="F256" s="396"/>
      <c r="G256" s="456"/>
      <c r="H256" s="396"/>
      <c r="I256" s="396"/>
      <c r="J256" s="409"/>
      <c r="K256" s="456"/>
      <c r="L256" s="396"/>
      <c r="M256" s="396"/>
      <c r="N256" s="367"/>
      <c r="O256" s="396"/>
      <c r="P256" s="83"/>
      <c r="Q256" s="6" t="str">
        <f t="shared" si="137"/>
        <v>OKE</v>
      </c>
      <c r="R256" s="6"/>
      <c r="S256" s="190">
        <f>+S477-245000</f>
        <v>715401508</v>
      </c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7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7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7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7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7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7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7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7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7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7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37"/>
        <v>OKE</v>
      </c>
      <c r="R267" s="6"/>
    </row>
    <row r="268" spans="1:18" ht="15" hidden="1" thickBot="1" x14ac:dyDescent="0.25">
      <c r="B268" s="88"/>
      <c r="C268" s="77"/>
      <c r="D268" s="31"/>
      <c r="E268" s="31"/>
      <c r="F268" s="31"/>
      <c r="G268" s="179"/>
      <c r="H268" s="258"/>
      <c r="I268" s="179"/>
      <c r="J268" s="179"/>
      <c r="K268" s="179"/>
      <c r="L268" s="77"/>
      <c r="M268" s="77"/>
      <c r="N268" s="77"/>
      <c r="O268" s="77"/>
      <c r="P268" s="77"/>
      <c r="Q268" s="6" t="str">
        <f t="shared" si="137"/>
        <v>OKE</v>
      </c>
      <c r="R268" s="6"/>
    </row>
    <row r="269" spans="1:18" ht="14.1" hidden="1" customHeight="1" x14ac:dyDescent="0.2">
      <c r="A269" s="410" t="s">
        <v>0</v>
      </c>
      <c r="B269" s="410"/>
      <c r="C269" s="410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77"/>
      <c r="Q269" s="6" t="str">
        <f t="shared" si="137"/>
        <v>OKE</v>
      </c>
      <c r="R269" s="6"/>
    </row>
    <row r="270" spans="1:18" ht="14.1" hidden="1" customHeight="1" x14ac:dyDescent="0.2">
      <c r="A270" s="410" t="s">
        <v>130</v>
      </c>
      <c r="B270" s="410"/>
      <c r="C270" s="410"/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77"/>
      <c r="Q270" s="6" t="str">
        <f t="shared" si="137"/>
        <v>OKE</v>
      </c>
      <c r="R270" s="6"/>
    </row>
    <row r="271" spans="1:18" ht="14.1" hidden="1" customHeight="1" x14ac:dyDescent="0.2">
      <c r="A271" s="407" t="s">
        <v>131</v>
      </c>
      <c r="B271" s="407"/>
      <c r="C271" s="407"/>
      <c r="D271" s="407"/>
      <c r="E271" s="407"/>
      <c r="F271" s="407"/>
      <c r="G271" s="407"/>
      <c r="H271" s="407"/>
      <c r="I271" s="407"/>
      <c r="J271" s="407"/>
      <c r="K271" s="407"/>
      <c r="L271" s="407"/>
      <c r="M271" s="407"/>
      <c r="N271" s="407"/>
      <c r="O271" s="407"/>
      <c r="P271" s="77"/>
      <c r="Q271" s="6" t="str">
        <f t="shared" si="137"/>
        <v>OKE</v>
      </c>
      <c r="R271" s="6"/>
    </row>
    <row r="272" spans="1:18" ht="14.1" hidden="1" customHeight="1" x14ac:dyDescent="0.2">
      <c r="A272" s="361" t="s">
        <v>2</v>
      </c>
      <c r="B272" s="361" t="s">
        <v>3</v>
      </c>
      <c r="C272" s="361" t="s">
        <v>4</v>
      </c>
      <c r="D272" s="361" t="s">
        <v>5</v>
      </c>
      <c r="E272" s="197"/>
      <c r="F272" s="197"/>
      <c r="G272" s="358" t="s">
        <v>11</v>
      </c>
      <c r="H272" s="359"/>
      <c r="I272" s="359"/>
      <c r="J272" s="360"/>
      <c r="K272" s="358" t="s">
        <v>9</v>
      </c>
      <c r="L272" s="359"/>
      <c r="M272" s="359"/>
      <c r="N272" s="360"/>
      <c r="O272" s="361" t="s">
        <v>10</v>
      </c>
      <c r="P272" s="77"/>
      <c r="Q272" s="6" t="str">
        <f t="shared" si="137"/>
        <v>OKE</v>
      </c>
      <c r="R272" s="6"/>
    </row>
    <row r="273" spans="1:18" ht="14.1" hidden="1" customHeight="1" x14ac:dyDescent="0.2">
      <c r="A273" s="362"/>
      <c r="B273" s="362"/>
      <c r="C273" s="362"/>
      <c r="D273" s="362"/>
      <c r="E273" s="44"/>
      <c r="F273" s="44"/>
      <c r="G273" s="358" t="s">
        <v>74</v>
      </c>
      <c r="H273" s="359"/>
      <c r="I273" s="359"/>
      <c r="J273" s="360"/>
      <c r="K273" s="358" t="s">
        <v>12</v>
      </c>
      <c r="L273" s="359"/>
      <c r="M273" s="359"/>
      <c r="N273" s="360"/>
      <c r="O273" s="362"/>
      <c r="P273" s="77"/>
      <c r="Q273" s="6" t="str">
        <f t="shared" si="137"/>
        <v>OKE</v>
      </c>
      <c r="R273" s="6"/>
    </row>
    <row r="274" spans="1:18" ht="15" hidden="1" thickBot="1" x14ac:dyDescent="0.25">
      <c r="A274" s="363"/>
      <c r="B274" s="363"/>
      <c r="C274" s="363"/>
      <c r="D274" s="363"/>
      <c r="E274" s="196"/>
      <c r="F274" s="196"/>
      <c r="G274" s="144" t="s">
        <v>13</v>
      </c>
      <c r="H274" s="145" t="s">
        <v>14</v>
      </c>
      <c r="I274" s="144" t="s">
        <v>15</v>
      </c>
      <c r="J274" s="144" t="s">
        <v>16</v>
      </c>
      <c r="K274" s="144" t="s">
        <v>13</v>
      </c>
      <c r="L274" s="144" t="s">
        <v>14</v>
      </c>
      <c r="M274" s="144" t="s">
        <v>15</v>
      </c>
      <c r="N274" s="144" t="s">
        <v>16</v>
      </c>
      <c r="O274" s="363"/>
      <c r="P274" s="77"/>
      <c r="Q274" s="6" t="str">
        <f t="shared" si="137"/>
        <v>OKE</v>
      </c>
      <c r="R274" s="6"/>
    </row>
    <row r="275" spans="1:18" ht="15" hidden="1" thickBot="1" x14ac:dyDescent="0.25">
      <c r="A275" s="2">
        <v>1</v>
      </c>
      <c r="B275" s="2">
        <v>2</v>
      </c>
      <c r="C275" s="2">
        <v>3</v>
      </c>
      <c r="D275" s="2">
        <v>4</v>
      </c>
      <c r="E275" s="2"/>
      <c r="F275" s="2"/>
      <c r="G275" s="2">
        <v>5</v>
      </c>
      <c r="H275" s="145">
        <v>6</v>
      </c>
      <c r="I275" s="45" t="s">
        <v>77</v>
      </c>
      <c r="J275" s="45" t="s">
        <v>78</v>
      </c>
      <c r="K275" s="45">
        <v>9</v>
      </c>
      <c r="L275" s="45">
        <v>10</v>
      </c>
      <c r="M275" s="45" t="s">
        <v>79</v>
      </c>
      <c r="N275" s="45" t="s">
        <v>80</v>
      </c>
      <c r="O275" s="45" t="s">
        <v>81</v>
      </c>
      <c r="P275" s="77"/>
      <c r="Q275" s="6" t="str">
        <f t="shared" si="137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241"/>
      <c r="O276" s="241"/>
      <c r="P276" s="77"/>
      <c r="Q276" s="6" t="str">
        <f t="shared" si="137"/>
        <v>OKE</v>
      </c>
      <c r="R276" s="6"/>
    </row>
    <row r="277" spans="1:18" ht="15" hidden="1" thickBot="1" x14ac:dyDescent="0.25">
      <c r="A277" s="74"/>
      <c r="B277" s="76"/>
      <c r="C277" s="244" t="s">
        <v>82</v>
      </c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76"/>
      <c r="O277" s="76"/>
      <c r="P277" s="77"/>
      <c r="Q277" s="6" t="str">
        <f t="shared" si="137"/>
        <v>OKE</v>
      </c>
      <c r="R277" s="6"/>
    </row>
    <row r="278" spans="1:18" ht="15" hidden="1" thickBot="1" x14ac:dyDescent="0.25">
      <c r="A278" s="74"/>
      <c r="B278" s="76"/>
      <c r="C278" s="76"/>
      <c r="D278" s="8"/>
      <c r="E278" s="8"/>
      <c r="F278" s="8"/>
      <c r="G278" s="76"/>
      <c r="H278" s="82"/>
      <c r="I278" s="76"/>
      <c r="J278" s="76"/>
      <c r="K278" s="76"/>
      <c r="L278" s="76"/>
      <c r="M278" s="76"/>
      <c r="N278" s="76"/>
      <c r="O278" s="76"/>
      <c r="P278" s="77"/>
      <c r="Q278" s="6" t="str">
        <f t="shared" si="137"/>
        <v>OKE</v>
      </c>
      <c r="R278" s="6"/>
    </row>
    <row r="279" spans="1:18" ht="15" hidden="1" thickBot="1" x14ac:dyDescent="0.25">
      <c r="A279" s="7" t="s">
        <v>22</v>
      </c>
      <c r="B279" s="7" t="s">
        <v>23</v>
      </c>
      <c r="C279" s="9" t="s">
        <v>45</v>
      </c>
      <c r="D279" s="10">
        <f>+D281+D286+D288+D290</f>
        <v>352575000</v>
      </c>
      <c r="E279" s="10"/>
      <c r="F279" s="10"/>
      <c r="G279" s="10">
        <f>+G281+G286+G288+G290</f>
        <v>130595000</v>
      </c>
      <c r="H279" s="11">
        <f>+H281+H286+H288+H290</f>
        <v>200225000</v>
      </c>
      <c r="I279" s="10">
        <f>+G279+H279</f>
        <v>330820000</v>
      </c>
      <c r="J279" s="12">
        <f>+I279/D279</f>
        <v>0.9382968162802241</v>
      </c>
      <c r="K279" s="10">
        <f>+K281+K286+K288+K290</f>
        <v>124051000</v>
      </c>
      <c r="L279" s="10">
        <f>+L281+L286+L288+L290</f>
        <v>199372700</v>
      </c>
      <c r="M279" s="10">
        <f>+K279+L279</f>
        <v>323423700</v>
      </c>
      <c r="N279" s="12">
        <f>+M279/D279</f>
        <v>0.91731886832588816</v>
      </c>
      <c r="O279" s="10">
        <f>+D279-I279</f>
        <v>21755000</v>
      </c>
      <c r="P279" s="77"/>
      <c r="Q279" s="6" t="str">
        <f t="shared" si="137"/>
        <v>OKE</v>
      </c>
      <c r="R279" s="6"/>
    </row>
    <row r="280" spans="1:18" ht="15" hidden="1" thickBot="1" x14ac:dyDescent="0.25">
      <c r="A280" s="74"/>
      <c r="B280" s="74"/>
      <c r="C280" s="76"/>
      <c r="D280" s="15"/>
      <c r="E280" s="15"/>
      <c r="F280" s="15"/>
      <c r="G280" s="80"/>
      <c r="H280" s="79"/>
      <c r="I280" s="80"/>
      <c r="J280" s="80"/>
      <c r="K280" s="80"/>
      <c r="L280" s="76"/>
      <c r="M280" s="76"/>
      <c r="N280" s="76"/>
      <c r="O280" s="76"/>
      <c r="P280" s="77"/>
      <c r="Q280" s="6" t="str">
        <f t="shared" si="137"/>
        <v>OKE</v>
      </c>
      <c r="R280" s="6"/>
    </row>
    <row r="281" spans="1:18" ht="15" hidden="1" thickBot="1" x14ac:dyDescent="0.25">
      <c r="A281" s="74">
        <v>1</v>
      </c>
      <c r="B281" s="75" t="s">
        <v>39</v>
      </c>
      <c r="C281" s="76" t="s">
        <v>50</v>
      </c>
      <c r="D281" s="15">
        <v>255000000</v>
      </c>
      <c r="E281" s="15"/>
      <c r="F281" s="15"/>
      <c r="G281" s="80">
        <v>68220000</v>
      </c>
      <c r="H281" s="79">
        <v>173020000</v>
      </c>
      <c r="I281" s="15">
        <f>+G281+H281</f>
        <v>241240000</v>
      </c>
      <c r="J281" s="16">
        <f>+I281/D281</f>
        <v>0.94603921568627447</v>
      </c>
      <c r="K281" s="80">
        <v>65540000</v>
      </c>
      <c r="L281" s="80">
        <v>174070000</v>
      </c>
      <c r="M281" s="80">
        <f>+K281+L281</f>
        <v>239610000</v>
      </c>
      <c r="N281" s="16">
        <f>+M281/D281</f>
        <v>0.93964705882352939</v>
      </c>
      <c r="O281" s="80">
        <f>+D281-I281</f>
        <v>13760000</v>
      </c>
      <c r="P281" s="77"/>
      <c r="Q281" s="6" t="str">
        <f t="shared" si="137"/>
        <v>OKE</v>
      </c>
      <c r="R281" s="6"/>
    </row>
    <row r="282" spans="1:18" ht="15" hidden="1" thickBot="1" x14ac:dyDescent="0.25">
      <c r="A282" s="74"/>
      <c r="B282" s="75"/>
      <c r="C282" s="76"/>
      <c r="D282" s="15"/>
      <c r="E282" s="15"/>
      <c r="F282" s="15"/>
      <c r="G282" s="80"/>
      <c r="H282" s="79"/>
      <c r="I282" s="15"/>
      <c r="J282" s="16"/>
      <c r="K282" s="80"/>
      <c r="L282" s="80"/>
      <c r="M282" s="80"/>
      <c r="N282" s="16"/>
      <c r="O282" s="80"/>
      <c r="P282" s="77"/>
      <c r="Q282" s="6" t="str">
        <f t="shared" si="137"/>
        <v>OKE</v>
      </c>
      <c r="R282" s="6"/>
    </row>
    <row r="283" spans="1:18" ht="15" hidden="1" thickBot="1" x14ac:dyDescent="0.25">
      <c r="A283" s="74"/>
      <c r="B283" s="18" t="s">
        <v>24</v>
      </c>
      <c r="C283" s="19" t="s">
        <v>25</v>
      </c>
      <c r="D283" s="20">
        <v>44275000</v>
      </c>
      <c r="E283" s="20"/>
      <c r="F283" s="20"/>
      <c r="G283" s="20">
        <v>33022500</v>
      </c>
      <c r="H283" s="21">
        <v>2527500</v>
      </c>
      <c r="I283" s="20">
        <f>+G283+H283</f>
        <v>35550000</v>
      </c>
      <c r="J283" s="22">
        <f>+I283/D283</f>
        <v>0.80293619424054208</v>
      </c>
      <c r="K283" s="20">
        <v>27217500</v>
      </c>
      <c r="L283" s="20">
        <v>0</v>
      </c>
      <c r="M283" s="20">
        <f>+K283+L283</f>
        <v>27217500</v>
      </c>
      <c r="N283" s="22">
        <f>+M283/D283</f>
        <v>0.61473743647656687</v>
      </c>
      <c r="O283" s="20">
        <f>+D283-I283</f>
        <v>8725000</v>
      </c>
      <c r="P283" s="77"/>
      <c r="Q283" s="6" t="str">
        <f t="shared" si="137"/>
        <v>OKE</v>
      </c>
      <c r="R283" s="6"/>
    </row>
    <row r="284" spans="1:18" ht="15" hidden="1" thickBot="1" x14ac:dyDescent="0.25">
      <c r="A284" s="74"/>
      <c r="B284" s="18" t="s">
        <v>24</v>
      </c>
      <c r="C284" s="19" t="s">
        <v>28</v>
      </c>
      <c r="D284" s="20">
        <v>-11700000</v>
      </c>
      <c r="E284" s="20"/>
      <c r="F284" s="20"/>
      <c r="G284" s="20">
        <v>0</v>
      </c>
      <c r="H284" s="21">
        <v>-8825000</v>
      </c>
      <c r="I284" s="20">
        <f>+G284+H284</f>
        <v>-8825000</v>
      </c>
      <c r="J284" s="22"/>
      <c r="K284" s="20"/>
      <c r="L284" s="20">
        <v>-8825000</v>
      </c>
      <c r="M284" s="20">
        <f>+K284+L284</f>
        <v>-8825000</v>
      </c>
      <c r="N284" s="22"/>
      <c r="O284" s="20"/>
      <c r="P284" s="77"/>
      <c r="Q284" s="6" t="str">
        <f t="shared" si="137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76"/>
      <c r="M285" s="76"/>
      <c r="N285" s="76"/>
      <c r="O285" s="76"/>
      <c r="P285" s="77"/>
      <c r="Q285" s="6" t="str">
        <f t="shared" si="137"/>
        <v>OKE</v>
      </c>
      <c r="R285" s="6"/>
    </row>
    <row r="286" spans="1:18" ht="15" hidden="1" thickBot="1" x14ac:dyDescent="0.25">
      <c r="A286" s="74">
        <v>2</v>
      </c>
      <c r="B286" s="75" t="s">
        <v>24</v>
      </c>
      <c r="C286" s="76" t="s">
        <v>25</v>
      </c>
      <c r="D286" s="15">
        <v>32575000</v>
      </c>
      <c r="E286" s="15"/>
      <c r="F286" s="15"/>
      <c r="G286" s="80">
        <v>26725000</v>
      </c>
      <c r="H286" s="79">
        <v>5055000</v>
      </c>
      <c r="I286" s="15">
        <f>+G286+H286</f>
        <v>31780000</v>
      </c>
      <c r="J286" s="16">
        <f>+I286/D286</f>
        <v>0.97559478127398314</v>
      </c>
      <c r="K286" s="80">
        <v>23622500</v>
      </c>
      <c r="L286" s="80">
        <v>7757500</v>
      </c>
      <c r="M286" s="80">
        <f>+K286+L286</f>
        <v>31380000</v>
      </c>
      <c r="N286" s="16">
        <f>+M286/D286</f>
        <v>0.96331542594013819</v>
      </c>
      <c r="O286" s="80">
        <f>+D286-I286</f>
        <v>795000</v>
      </c>
      <c r="P286" s="77"/>
      <c r="Q286" s="6" t="str">
        <f t="shared" si="137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93"/>
      <c r="M287" s="76"/>
      <c r="N287" s="76"/>
      <c r="O287" s="76"/>
      <c r="P287" s="77"/>
      <c r="Q287" s="6" t="str">
        <f t="shared" si="137"/>
        <v>OKE</v>
      </c>
      <c r="R287" s="6"/>
    </row>
    <row r="288" spans="1:18" ht="15" hidden="1" thickBot="1" x14ac:dyDescent="0.25">
      <c r="A288" s="74">
        <v>3</v>
      </c>
      <c r="B288" s="75" t="s">
        <v>46</v>
      </c>
      <c r="C288" s="76" t="s">
        <v>47</v>
      </c>
      <c r="D288" s="15">
        <v>25000000</v>
      </c>
      <c r="E288" s="15"/>
      <c r="F288" s="15"/>
      <c r="G288" s="80">
        <v>9400000</v>
      </c>
      <c r="H288" s="79">
        <v>15600000</v>
      </c>
      <c r="I288" s="15">
        <f>+G288+H288</f>
        <v>25000000</v>
      </c>
      <c r="J288" s="16">
        <f>+I288/D288</f>
        <v>1</v>
      </c>
      <c r="K288" s="80">
        <v>9400000</v>
      </c>
      <c r="L288" s="80">
        <v>11703700</v>
      </c>
      <c r="M288" s="80">
        <f>+K288+L288</f>
        <v>21103700</v>
      </c>
      <c r="N288" s="16">
        <f>+M288/D288</f>
        <v>0.84414800000000001</v>
      </c>
      <c r="O288" s="80">
        <f>+D288-I288</f>
        <v>0</v>
      </c>
      <c r="P288" s="77"/>
      <c r="Q288" s="6" t="str">
        <f t="shared" si="137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7"/>
        <v>OKE</v>
      </c>
      <c r="R289" s="6"/>
    </row>
    <row r="290" spans="1:18" ht="15" hidden="1" thickBot="1" x14ac:dyDescent="0.25">
      <c r="A290" s="74">
        <v>4</v>
      </c>
      <c r="B290" s="75" t="s">
        <v>29</v>
      </c>
      <c r="C290" s="76" t="s">
        <v>30</v>
      </c>
      <c r="D290" s="15">
        <v>40000000</v>
      </c>
      <c r="E290" s="15"/>
      <c r="F290" s="15"/>
      <c r="G290" s="80">
        <v>26250000</v>
      </c>
      <c r="H290" s="79">
        <v>6550000</v>
      </c>
      <c r="I290" s="15">
        <f>+G290+H290</f>
        <v>32800000</v>
      </c>
      <c r="J290" s="16">
        <f>+I290/D290</f>
        <v>0.82</v>
      </c>
      <c r="K290" s="80">
        <v>25488500</v>
      </c>
      <c r="L290" s="80">
        <v>5841500</v>
      </c>
      <c r="M290" s="80">
        <f>+K290+L290</f>
        <v>31330000</v>
      </c>
      <c r="N290" s="16">
        <f>+M290/D290</f>
        <v>0.78325</v>
      </c>
      <c r="O290" s="80">
        <f>+D290-I290</f>
        <v>7200000</v>
      </c>
      <c r="P290" s="77"/>
      <c r="Q290" s="6" t="str">
        <f t="shared" si="137"/>
        <v>OKE</v>
      </c>
      <c r="R290" s="6"/>
    </row>
    <row r="291" spans="1:18" ht="15" hidden="1" thickBot="1" x14ac:dyDescent="0.25">
      <c r="A291" s="74"/>
      <c r="B291" s="74"/>
      <c r="C291" s="76"/>
      <c r="D291" s="15"/>
      <c r="E291" s="15"/>
      <c r="F291" s="15"/>
      <c r="G291" s="80"/>
      <c r="H291" s="79"/>
      <c r="I291" s="80"/>
      <c r="J291" s="80"/>
      <c r="K291" s="80"/>
      <c r="L291" s="76"/>
      <c r="M291" s="76"/>
      <c r="N291" s="76"/>
      <c r="O291" s="76"/>
      <c r="P291" s="77"/>
      <c r="Q291" s="6" t="str">
        <f t="shared" si="137"/>
        <v>OKE</v>
      </c>
      <c r="R291" s="6"/>
    </row>
    <row r="292" spans="1:18" ht="15" hidden="1" thickBot="1" x14ac:dyDescent="0.25">
      <c r="A292" s="74"/>
      <c r="B292" s="74"/>
      <c r="C292" s="9" t="s">
        <v>48</v>
      </c>
      <c r="D292" s="10">
        <f>+D290+D288+D286+D281</f>
        <v>352575000</v>
      </c>
      <c r="E292" s="10"/>
      <c r="F292" s="10"/>
      <c r="G292" s="10">
        <f>+G290+G288+G286+G281</f>
        <v>130595000</v>
      </c>
      <c r="H292" s="11">
        <f>+H290+H288+H286+H281</f>
        <v>200225000</v>
      </c>
      <c r="I292" s="10">
        <f>+G292+H292</f>
        <v>330820000</v>
      </c>
      <c r="J292" s="12">
        <f>+I292/D292</f>
        <v>0.9382968162802241</v>
      </c>
      <c r="K292" s="10">
        <f>+K290+K288+K286+K281</f>
        <v>124051000</v>
      </c>
      <c r="L292" s="10">
        <f>+L290+L288+L286+L281</f>
        <v>199372700</v>
      </c>
      <c r="M292" s="10">
        <f>+K292+L292</f>
        <v>323423700</v>
      </c>
      <c r="N292" s="12">
        <f>+M292/D292</f>
        <v>0.91731886832588816</v>
      </c>
      <c r="O292" s="10">
        <f>+D292-I292</f>
        <v>21755000</v>
      </c>
      <c r="P292" s="77"/>
      <c r="Q292" s="6" t="str">
        <f t="shared" si="137"/>
        <v>OKE</v>
      </c>
      <c r="R292" s="6"/>
    </row>
    <row r="293" spans="1:18" ht="15" hidden="1" thickBot="1" x14ac:dyDescent="0.25">
      <c r="A293" s="85"/>
      <c r="B293" s="85"/>
      <c r="C293" s="34" t="s">
        <v>31</v>
      </c>
      <c r="D293" s="35"/>
      <c r="E293" s="35"/>
      <c r="F293" s="35"/>
      <c r="G293" s="259"/>
      <c r="H293" s="260"/>
      <c r="I293" s="259"/>
      <c r="J293" s="259"/>
      <c r="K293" s="259"/>
      <c r="L293" s="261"/>
      <c r="M293" s="261"/>
      <c r="N293" s="261"/>
      <c r="O293" s="261"/>
      <c r="P293" s="77"/>
      <c r="Q293" s="6" t="str">
        <f t="shared" si="137"/>
        <v>OKE</v>
      </c>
      <c r="R293" s="6"/>
    </row>
    <row r="294" spans="1:18" ht="15" hidden="1" thickBot="1" x14ac:dyDescent="0.25">
      <c r="A294" s="74"/>
      <c r="B294" s="74"/>
      <c r="C294" s="76"/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7"/>
        <v>OKE</v>
      </c>
      <c r="R294" s="6"/>
    </row>
    <row r="295" spans="1:18" ht="15" hidden="1" thickBot="1" x14ac:dyDescent="0.25">
      <c r="A295" s="7" t="s">
        <v>32</v>
      </c>
      <c r="B295" s="7" t="s">
        <v>33</v>
      </c>
      <c r="C295" s="9" t="s">
        <v>83</v>
      </c>
      <c r="D295" s="10">
        <f>+D298</f>
        <v>75000000</v>
      </c>
      <c r="E295" s="10"/>
      <c r="F295" s="10"/>
      <c r="G295" s="10">
        <f>+G298</f>
        <v>45335300</v>
      </c>
      <c r="H295" s="11">
        <f>+H298</f>
        <v>26800000</v>
      </c>
      <c r="I295" s="10">
        <f>+G295+H295</f>
        <v>72135300</v>
      </c>
      <c r="J295" s="12">
        <f>+I295/D295</f>
        <v>0.96180399999999999</v>
      </c>
      <c r="K295" s="10">
        <f>+K298</f>
        <v>43643800</v>
      </c>
      <c r="L295" s="10">
        <f>+L298</f>
        <v>24769900</v>
      </c>
      <c r="M295" s="10">
        <f>+K295+L295</f>
        <v>68413700</v>
      </c>
      <c r="N295" s="12">
        <f>+M295/D295</f>
        <v>0.9121826666666667</v>
      </c>
      <c r="O295" s="10">
        <f>+D295-I295</f>
        <v>2864700</v>
      </c>
      <c r="P295" s="77"/>
      <c r="Q295" s="6" t="str">
        <f t="shared" si="137"/>
        <v>OKE</v>
      </c>
      <c r="R295" s="6"/>
    </row>
    <row r="296" spans="1:18" ht="15" hidden="1" thickBot="1" x14ac:dyDescent="0.25">
      <c r="A296" s="74"/>
      <c r="B296" s="74"/>
      <c r="C296" s="9" t="s">
        <v>49</v>
      </c>
      <c r="D296" s="15"/>
      <c r="E296" s="15"/>
      <c r="F296" s="15"/>
      <c r="G296" s="80"/>
      <c r="H296" s="79"/>
      <c r="I296" s="80"/>
      <c r="J296" s="80"/>
      <c r="K296" s="80"/>
      <c r="L296" s="76"/>
      <c r="M296" s="76"/>
      <c r="N296" s="76"/>
      <c r="O296" s="76"/>
      <c r="P296" s="77"/>
      <c r="Q296" s="6" t="str">
        <f t="shared" si="137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7"/>
        <v>OKE</v>
      </c>
      <c r="R297" s="6"/>
    </row>
    <row r="298" spans="1:18" ht="15" hidden="1" thickBot="1" x14ac:dyDescent="0.25">
      <c r="A298" s="74">
        <v>5</v>
      </c>
      <c r="B298" s="75" t="s">
        <v>34</v>
      </c>
      <c r="C298" s="8" t="s">
        <v>35</v>
      </c>
      <c r="D298" s="15">
        <v>75000000</v>
      </c>
      <c r="E298" s="15"/>
      <c r="F298" s="15"/>
      <c r="G298" s="80">
        <v>45335300</v>
      </c>
      <c r="H298" s="79">
        <v>26800000</v>
      </c>
      <c r="I298" s="15">
        <f>+G298+H298</f>
        <v>72135300</v>
      </c>
      <c r="J298" s="16">
        <f>+I298/D298</f>
        <v>0.96180399999999999</v>
      </c>
      <c r="K298" s="80">
        <v>43643800</v>
      </c>
      <c r="L298" s="80">
        <v>24769900</v>
      </c>
      <c r="M298" s="80">
        <f>+K298+L298</f>
        <v>68413700</v>
      </c>
      <c r="N298" s="16">
        <f>+M298/D298</f>
        <v>0.9121826666666667</v>
      </c>
      <c r="O298" s="80">
        <f>+D298-I298</f>
        <v>2864700</v>
      </c>
      <c r="P298" s="77"/>
      <c r="Q298" s="6" t="str">
        <f t="shared" si="137"/>
        <v>OKE</v>
      </c>
      <c r="R298" s="6"/>
    </row>
    <row r="299" spans="1:18" ht="15" hidden="1" thickBot="1" x14ac:dyDescent="0.25">
      <c r="A299" s="74"/>
      <c r="B299" s="74"/>
      <c r="C299" s="76"/>
      <c r="D299" s="15"/>
      <c r="E299" s="15"/>
      <c r="F299" s="15"/>
      <c r="G299" s="80"/>
      <c r="H299" s="79"/>
      <c r="I299" s="80"/>
      <c r="J299" s="80"/>
      <c r="K299" s="80"/>
      <c r="L299" s="76"/>
      <c r="M299" s="76"/>
      <c r="N299" s="76"/>
      <c r="O299" s="76"/>
      <c r="P299" s="77"/>
      <c r="Q299" s="6" t="str">
        <f t="shared" si="137"/>
        <v>OKE</v>
      </c>
      <c r="R299" s="6"/>
    </row>
    <row r="300" spans="1:18" ht="15" hidden="1" thickBot="1" x14ac:dyDescent="0.25">
      <c r="A300" s="74"/>
      <c r="B300" s="74"/>
      <c r="C300" s="9" t="s">
        <v>65</v>
      </c>
      <c r="D300" s="10">
        <f>+D298</f>
        <v>75000000</v>
      </c>
      <c r="E300" s="10"/>
      <c r="F300" s="10"/>
      <c r="G300" s="10">
        <f>+G298</f>
        <v>45335300</v>
      </c>
      <c r="H300" s="11">
        <f>+H298</f>
        <v>26800000</v>
      </c>
      <c r="I300" s="10">
        <f>+G300+H300</f>
        <v>72135300</v>
      </c>
      <c r="J300" s="12">
        <f>+I300/D300</f>
        <v>0.96180399999999999</v>
      </c>
      <c r="K300" s="10">
        <f>+K298</f>
        <v>43643800</v>
      </c>
      <c r="L300" s="10">
        <f>+L298</f>
        <v>24769900</v>
      </c>
      <c r="M300" s="10">
        <f>+K300+L300</f>
        <v>68413700</v>
      </c>
      <c r="N300" s="12">
        <f>+M300/D300</f>
        <v>0.9121826666666667</v>
      </c>
      <c r="O300" s="10">
        <f>+D300-I300</f>
        <v>2864700</v>
      </c>
      <c r="P300" s="77"/>
      <c r="Q300" s="6" t="str">
        <f t="shared" si="137"/>
        <v>OKE</v>
      </c>
      <c r="R300" s="6"/>
    </row>
    <row r="301" spans="1:18" ht="15" hidden="1" thickBot="1" x14ac:dyDescent="0.25">
      <c r="A301" s="81"/>
      <c r="B301" s="81"/>
      <c r="C301" s="23" t="s">
        <v>66</v>
      </c>
      <c r="D301" s="32"/>
      <c r="E301" s="32"/>
      <c r="F301" s="32"/>
      <c r="G301" s="252"/>
      <c r="H301" s="253"/>
      <c r="I301" s="252"/>
      <c r="J301" s="252"/>
      <c r="K301" s="252"/>
      <c r="L301" s="251"/>
      <c r="M301" s="251"/>
      <c r="N301" s="251"/>
      <c r="O301" s="251"/>
      <c r="P301" s="77"/>
      <c r="Q301" s="6" t="str">
        <f t="shared" si="137"/>
        <v>OKE</v>
      </c>
      <c r="R301" s="6"/>
    </row>
    <row r="302" spans="1:18" ht="15" hidden="1" thickBot="1" x14ac:dyDescent="0.25"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7"/>
        <v>OKE</v>
      </c>
      <c r="R302" s="6"/>
    </row>
    <row r="303" spans="1:18" ht="15" hidden="1" thickBot="1" x14ac:dyDescent="0.25"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7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7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7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7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7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37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7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ref="Q310:Q373" si="141">IF(M310&lt;=I310,"OKE","Salah")</f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1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1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1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1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1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1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1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1"/>
        <v>OKE</v>
      </c>
      <c r="R318" s="6"/>
    </row>
    <row r="319" spans="1:18" ht="15" hidden="1" thickBot="1" x14ac:dyDescent="0.25">
      <c r="A319" s="77"/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1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1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1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1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1"/>
        <v>OKE</v>
      </c>
      <c r="R323" s="6"/>
    </row>
    <row r="324" spans="1:18" ht="15" hidden="1" thickBot="1" x14ac:dyDescent="0.25">
      <c r="B324" s="88"/>
      <c r="C324" s="77"/>
      <c r="D324" s="31"/>
      <c r="E324" s="31"/>
      <c r="F324" s="31"/>
      <c r="G324" s="179"/>
      <c r="H324" s="258"/>
      <c r="I324" s="179"/>
      <c r="J324" s="179"/>
      <c r="K324" s="179"/>
      <c r="L324" s="77"/>
      <c r="M324" s="77"/>
      <c r="N324" s="77"/>
      <c r="O324" s="77"/>
      <c r="P324" s="77"/>
      <c r="Q324" s="6" t="str">
        <f t="shared" si="141"/>
        <v>OKE</v>
      </c>
      <c r="R324" s="6"/>
    </row>
    <row r="325" spans="1:18" ht="15" hidden="1" thickBot="1" x14ac:dyDescent="0.25">
      <c r="A325" s="407"/>
      <c r="B325" s="407"/>
      <c r="C325" s="407"/>
      <c r="D325" s="407"/>
      <c r="E325" s="407"/>
      <c r="F325" s="407"/>
      <c r="G325" s="407"/>
      <c r="H325" s="407"/>
      <c r="I325" s="407"/>
      <c r="J325" s="407"/>
      <c r="K325" s="407"/>
      <c r="L325" s="407"/>
      <c r="M325" s="407"/>
      <c r="N325" s="407"/>
      <c r="O325" s="407"/>
      <c r="P325" s="77"/>
      <c r="Q325" s="6" t="str">
        <f t="shared" si="141"/>
        <v>OKE</v>
      </c>
      <c r="R325" s="6"/>
    </row>
    <row r="326" spans="1:18" ht="14.1" hidden="1" customHeight="1" x14ac:dyDescent="0.2">
      <c r="A326" s="361" t="s">
        <v>2</v>
      </c>
      <c r="B326" s="361" t="s">
        <v>3</v>
      </c>
      <c r="C326" s="361" t="s">
        <v>4</v>
      </c>
      <c r="D326" s="361" t="s">
        <v>5</v>
      </c>
      <c r="E326" s="197"/>
      <c r="F326" s="197"/>
      <c r="G326" s="358" t="s">
        <v>11</v>
      </c>
      <c r="H326" s="359"/>
      <c r="I326" s="359"/>
      <c r="J326" s="360"/>
      <c r="K326" s="358" t="s">
        <v>9</v>
      </c>
      <c r="L326" s="359"/>
      <c r="M326" s="359"/>
      <c r="N326" s="360"/>
      <c r="O326" s="361" t="s">
        <v>10</v>
      </c>
      <c r="P326" s="77"/>
      <c r="Q326" s="6" t="str">
        <f t="shared" si="141"/>
        <v>OKE</v>
      </c>
      <c r="R326" s="6"/>
    </row>
    <row r="327" spans="1:18" ht="14.1" hidden="1" customHeight="1" x14ac:dyDescent="0.2">
      <c r="A327" s="362"/>
      <c r="B327" s="362"/>
      <c r="C327" s="362"/>
      <c r="D327" s="362"/>
      <c r="E327" s="44"/>
      <c r="F327" s="44"/>
      <c r="G327" s="358" t="s">
        <v>74</v>
      </c>
      <c r="H327" s="359"/>
      <c r="I327" s="359"/>
      <c r="J327" s="360"/>
      <c r="K327" s="358" t="s">
        <v>12</v>
      </c>
      <c r="L327" s="359"/>
      <c r="M327" s="359"/>
      <c r="N327" s="360"/>
      <c r="O327" s="362"/>
      <c r="P327" s="77"/>
      <c r="Q327" s="6" t="str">
        <f t="shared" si="141"/>
        <v>OKE</v>
      </c>
      <c r="R327" s="6"/>
    </row>
    <row r="328" spans="1:18" ht="15" hidden="1" thickBot="1" x14ac:dyDescent="0.25">
      <c r="A328" s="378"/>
      <c r="B328" s="378"/>
      <c r="C328" s="378"/>
      <c r="D328" s="378"/>
      <c r="E328" s="196"/>
      <c r="F328" s="196"/>
      <c r="G328" s="144" t="s">
        <v>13</v>
      </c>
      <c r="H328" s="145" t="s">
        <v>14</v>
      </c>
      <c r="I328" s="144" t="s">
        <v>15</v>
      </c>
      <c r="J328" s="144" t="s">
        <v>16</v>
      </c>
      <c r="K328" s="144" t="s">
        <v>13</v>
      </c>
      <c r="L328" s="144" t="s">
        <v>14</v>
      </c>
      <c r="M328" s="144" t="s">
        <v>15</v>
      </c>
      <c r="N328" s="144" t="s">
        <v>16</v>
      </c>
      <c r="O328" s="378"/>
      <c r="P328" s="77"/>
      <c r="Q328" s="6" t="str">
        <f t="shared" si="141"/>
        <v>OKE</v>
      </c>
      <c r="R328" s="6"/>
    </row>
    <row r="329" spans="1:18" ht="15" hidden="1" thickBot="1" x14ac:dyDescent="0.25">
      <c r="A329" s="2">
        <v>1</v>
      </c>
      <c r="B329" s="2">
        <v>2</v>
      </c>
      <c r="C329" s="2">
        <v>3</v>
      </c>
      <c r="D329" s="2">
        <v>4</v>
      </c>
      <c r="E329" s="2"/>
      <c r="F329" s="2"/>
      <c r="G329" s="2">
        <v>5</v>
      </c>
      <c r="H329" s="145">
        <v>6</v>
      </c>
      <c r="I329" s="45" t="s">
        <v>77</v>
      </c>
      <c r="J329" s="45" t="s">
        <v>78</v>
      </c>
      <c r="K329" s="45">
        <v>9</v>
      </c>
      <c r="L329" s="45">
        <v>10</v>
      </c>
      <c r="M329" s="45" t="s">
        <v>79</v>
      </c>
      <c r="N329" s="45" t="s">
        <v>80</v>
      </c>
      <c r="O329" s="45" t="s">
        <v>81</v>
      </c>
      <c r="P329" s="77"/>
      <c r="Q329" s="6" t="str">
        <f t="shared" si="141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241"/>
      <c r="O330" s="241"/>
      <c r="P330" s="77"/>
      <c r="Q330" s="6" t="str">
        <f t="shared" si="141"/>
        <v>OKE</v>
      </c>
      <c r="R330" s="6"/>
    </row>
    <row r="331" spans="1:18" ht="15" hidden="1" thickBot="1" x14ac:dyDescent="0.25">
      <c r="A331" s="74"/>
      <c r="B331" s="76"/>
      <c r="C331" s="244" t="s">
        <v>82</v>
      </c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76"/>
      <c r="O331" s="76"/>
      <c r="P331" s="77"/>
      <c r="Q331" s="6" t="str">
        <f t="shared" si="141"/>
        <v>OKE</v>
      </c>
      <c r="R331" s="6"/>
    </row>
    <row r="332" spans="1:18" ht="15" hidden="1" thickBot="1" x14ac:dyDescent="0.25">
      <c r="A332" s="74"/>
      <c r="B332" s="76"/>
      <c r="C332" s="76"/>
      <c r="D332" s="8"/>
      <c r="E332" s="8"/>
      <c r="F332" s="8"/>
      <c r="G332" s="76"/>
      <c r="H332" s="82"/>
      <c r="I332" s="76"/>
      <c r="J332" s="76"/>
      <c r="K332" s="76"/>
      <c r="L332" s="76"/>
      <c r="M332" s="76"/>
      <c r="N332" s="76"/>
      <c r="O332" s="76"/>
      <c r="P332" s="77"/>
      <c r="Q332" s="6" t="str">
        <f t="shared" si="141"/>
        <v>OKE</v>
      </c>
      <c r="R332" s="6"/>
    </row>
    <row r="333" spans="1:18" ht="15" hidden="1" thickBot="1" x14ac:dyDescent="0.25">
      <c r="A333" s="7" t="s">
        <v>38</v>
      </c>
      <c r="B333" s="7" t="s">
        <v>75</v>
      </c>
      <c r="C333" s="9" t="s">
        <v>84</v>
      </c>
      <c r="D333" s="10">
        <f>+D336+D339+D341+D343</f>
        <v>253000000</v>
      </c>
      <c r="E333" s="10"/>
      <c r="F333" s="10"/>
      <c r="G333" s="10">
        <f>+G336+G339+G341+G343</f>
        <v>196063600</v>
      </c>
      <c r="H333" s="11">
        <f>+H336+H339+H341+H343</f>
        <v>54435500</v>
      </c>
      <c r="I333" s="10">
        <f>+G333+H333</f>
        <v>250499100</v>
      </c>
      <c r="J333" s="12">
        <f>+I333/D333</f>
        <v>0.99011501976284588</v>
      </c>
      <c r="K333" s="10">
        <f>+K336+K339+K341+K343</f>
        <v>195569100</v>
      </c>
      <c r="L333" s="10">
        <f>+L336+L339+L341+L343</f>
        <v>54908000</v>
      </c>
      <c r="M333" s="10">
        <f>+K333+L333</f>
        <v>250477100</v>
      </c>
      <c r="N333" s="12">
        <f>+M333/D333</f>
        <v>0.9900280632411067</v>
      </c>
      <c r="O333" s="10">
        <f>+D333-I333</f>
        <v>2500900</v>
      </c>
      <c r="P333" s="77"/>
      <c r="Q333" s="6" t="str">
        <f t="shared" si="141"/>
        <v>OKE</v>
      </c>
      <c r="R333" s="6"/>
    </row>
    <row r="334" spans="1:18" ht="15" hidden="1" thickBot="1" x14ac:dyDescent="0.25">
      <c r="A334" s="74"/>
      <c r="B334" s="74"/>
      <c r="C334" s="9" t="s">
        <v>85</v>
      </c>
      <c r="D334" s="15"/>
      <c r="E334" s="15"/>
      <c r="F334" s="15"/>
      <c r="G334" s="80"/>
      <c r="H334" s="79"/>
      <c r="I334" s="80"/>
      <c r="J334" s="80"/>
      <c r="K334" s="80"/>
      <c r="L334" s="76"/>
      <c r="M334" s="76"/>
      <c r="N334" s="76"/>
      <c r="O334" s="76"/>
      <c r="P334" s="77"/>
      <c r="Q334" s="6" t="str">
        <f t="shared" si="141"/>
        <v>OKE</v>
      </c>
      <c r="R334" s="6"/>
    </row>
    <row r="335" spans="1:18" ht="15" hidden="1" thickBot="1" x14ac:dyDescent="0.25">
      <c r="A335" s="74"/>
      <c r="B335" s="74"/>
      <c r="C335" s="76"/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41"/>
        <v>OKE</v>
      </c>
      <c r="R335" s="6"/>
    </row>
    <row r="336" spans="1:18" ht="15" hidden="1" thickBot="1" x14ac:dyDescent="0.25">
      <c r="A336" s="74">
        <v>6</v>
      </c>
      <c r="B336" s="75" t="s">
        <v>39</v>
      </c>
      <c r="C336" s="8" t="s">
        <v>86</v>
      </c>
      <c r="D336" s="15">
        <v>38000000</v>
      </c>
      <c r="E336" s="15"/>
      <c r="F336" s="15"/>
      <c r="G336" s="80">
        <v>37612500</v>
      </c>
      <c r="H336" s="79">
        <v>0</v>
      </c>
      <c r="I336" s="15">
        <f>+G336+H336</f>
        <v>37612500</v>
      </c>
      <c r="J336" s="16">
        <f>+I336/D336</f>
        <v>0.98980263157894732</v>
      </c>
      <c r="K336" s="80">
        <v>37612500</v>
      </c>
      <c r="L336" s="80">
        <v>0</v>
      </c>
      <c r="M336" s="80">
        <f>+K336+L336</f>
        <v>37612500</v>
      </c>
      <c r="N336" s="16">
        <f>+M336/D336</f>
        <v>0.98980263157894732</v>
      </c>
      <c r="O336" s="80">
        <f>+D336-I336</f>
        <v>387500</v>
      </c>
      <c r="P336" s="77"/>
      <c r="Q336" s="6" t="str">
        <f t="shared" si="141"/>
        <v>OKE</v>
      </c>
      <c r="R336" s="6"/>
    </row>
    <row r="337" spans="1:18" ht="15" hidden="1" thickBot="1" x14ac:dyDescent="0.25">
      <c r="A337" s="74"/>
      <c r="B337" s="74"/>
      <c r="C337" s="8" t="s">
        <v>52</v>
      </c>
      <c r="D337" s="15"/>
      <c r="E337" s="15"/>
      <c r="F337" s="15"/>
      <c r="G337" s="80"/>
      <c r="H337" s="79"/>
      <c r="I337" s="80"/>
      <c r="J337" s="80"/>
      <c r="K337" s="80"/>
      <c r="L337" s="76"/>
      <c r="M337" s="76"/>
      <c r="N337" s="76"/>
      <c r="O337" s="76"/>
      <c r="P337" s="77"/>
      <c r="Q337" s="6" t="str">
        <f t="shared" si="141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41"/>
        <v>OKE</v>
      </c>
      <c r="R338" s="6"/>
    </row>
    <row r="339" spans="1:18" ht="15" hidden="1" thickBot="1" x14ac:dyDescent="0.25">
      <c r="A339" s="74">
        <v>7</v>
      </c>
      <c r="B339" s="75" t="s">
        <v>42</v>
      </c>
      <c r="C339" s="8" t="s">
        <v>53</v>
      </c>
      <c r="D339" s="15">
        <v>60000000</v>
      </c>
      <c r="E339" s="15"/>
      <c r="F339" s="15"/>
      <c r="G339" s="80">
        <v>59091100</v>
      </c>
      <c r="H339" s="79">
        <v>0</v>
      </c>
      <c r="I339" s="15">
        <f>+G339+H339</f>
        <v>59091100</v>
      </c>
      <c r="J339" s="16">
        <f>+I339/D339</f>
        <v>0.98485166666666668</v>
      </c>
      <c r="K339" s="80">
        <v>59091100</v>
      </c>
      <c r="L339" s="80">
        <v>0</v>
      </c>
      <c r="M339" s="80">
        <f>+K339+L339</f>
        <v>59091100</v>
      </c>
      <c r="N339" s="16">
        <f>+M339/D339</f>
        <v>0.98485166666666668</v>
      </c>
      <c r="O339" s="80">
        <f>+D339-I339</f>
        <v>908900</v>
      </c>
      <c r="P339" s="77"/>
      <c r="Q339" s="6" t="str">
        <f t="shared" si="141"/>
        <v>OKE</v>
      </c>
      <c r="R339" s="6"/>
    </row>
    <row r="340" spans="1:18" ht="15" hidden="1" thickBot="1" x14ac:dyDescent="0.25">
      <c r="A340" s="74"/>
      <c r="B340" s="74"/>
      <c r="C340" s="8"/>
      <c r="D340" s="15"/>
      <c r="E340" s="15"/>
      <c r="F340" s="15"/>
      <c r="G340" s="80"/>
      <c r="H340" s="79"/>
      <c r="I340" s="80"/>
      <c r="J340" s="80"/>
      <c r="K340" s="80"/>
      <c r="L340" s="76"/>
      <c r="M340" s="76"/>
      <c r="N340" s="76"/>
      <c r="O340" s="76"/>
      <c r="P340" s="77"/>
      <c r="Q340" s="6" t="str">
        <f t="shared" si="141"/>
        <v>OKE</v>
      </c>
      <c r="R340" s="6"/>
    </row>
    <row r="341" spans="1:18" ht="15" hidden="1" thickBot="1" x14ac:dyDescent="0.25">
      <c r="A341" s="74">
        <v>8</v>
      </c>
      <c r="B341" s="75" t="s">
        <v>24</v>
      </c>
      <c r="C341" s="8" t="s">
        <v>87</v>
      </c>
      <c r="D341" s="15">
        <v>65000000</v>
      </c>
      <c r="E341" s="15"/>
      <c r="F341" s="15"/>
      <c r="G341" s="80">
        <v>38340000</v>
      </c>
      <c r="H341" s="79">
        <v>25460000</v>
      </c>
      <c r="I341" s="15">
        <f>+G341+H341</f>
        <v>63800000</v>
      </c>
      <c r="J341" s="16">
        <f>+I341/D341</f>
        <v>0.98153846153846158</v>
      </c>
      <c r="K341" s="80">
        <v>37852500</v>
      </c>
      <c r="L341" s="80">
        <v>25932500</v>
      </c>
      <c r="M341" s="80">
        <f>+K341+L341</f>
        <v>63785000</v>
      </c>
      <c r="N341" s="16">
        <f>+M341/D341</f>
        <v>0.98130769230769233</v>
      </c>
      <c r="O341" s="80">
        <f>+D341-I341</f>
        <v>1200000</v>
      </c>
      <c r="P341" s="77"/>
      <c r="Q341" s="6" t="str">
        <f t="shared" si="141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46"/>
      <c r="L342" s="76"/>
      <c r="M342" s="76"/>
      <c r="N342" s="76"/>
      <c r="O342" s="76"/>
      <c r="P342" s="77"/>
      <c r="Q342" s="6" t="str">
        <f t="shared" si="141"/>
        <v>OKE</v>
      </c>
      <c r="R342" s="6"/>
    </row>
    <row r="343" spans="1:18" ht="15" hidden="1" thickBot="1" x14ac:dyDescent="0.25">
      <c r="A343" s="74">
        <v>9</v>
      </c>
      <c r="B343" s="75" t="s">
        <v>40</v>
      </c>
      <c r="C343" s="76" t="s">
        <v>88</v>
      </c>
      <c r="D343" s="47">
        <v>90000000</v>
      </c>
      <c r="E343" s="47"/>
      <c r="F343" s="47"/>
      <c r="G343" s="80">
        <v>61020000</v>
      </c>
      <c r="H343" s="79">
        <v>28975500</v>
      </c>
      <c r="I343" s="15">
        <f>+G343+H343</f>
        <v>89995500</v>
      </c>
      <c r="J343" s="16">
        <f>+I343/D343</f>
        <v>0.99995000000000001</v>
      </c>
      <c r="K343" s="80">
        <v>61013000</v>
      </c>
      <c r="L343" s="80">
        <v>28975500</v>
      </c>
      <c r="M343" s="80">
        <f>+K343+L343</f>
        <v>89988500</v>
      </c>
      <c r="N343" s="48">
        <v>0.99980000000000002</v>
      </c>
      <c r="O343" s="80">
        <f>+D343-I343</f>
        <v>4500</v>
      </c>
      <c r="P343" s="77"/>
      <c r="Q343" s="6" t="str">
        <f t="shared" si="141"/>
        <v>OKE</v>
      </c>
      <c r="R343" s="6"/>
    </row>
    <row r="344" spans="1:18" ht="15" hidden="1" thickBot="1" x14ac:dyDescent="0.25">
      <c r="A344" s="74"/>
      <c r="B344" s="76"/>
      <c r="C344" s="76"/>
      <c r="D344" s="8"/>
      <c r="E344" s="8"/>
      <c r="F344" s="8"/>
      <c r="G344" s="76"/>
      <c r="H344" s="82"/>
      <c r="I344" s="76"/>
      <c r="J344" s="76"/>
      <c r="K344" s="76"/>
      <c r="L344" s="76"/>
      <c r="M344" s="76"/>
      <c r="N344" s="76"/>
      <c r="O344" s="76"/>
      <c r="P344" s="77"/>
      <c r="Q344" s="6" t="str">
        <f t="shared" si="141"/>
        <v>OKE</v>
      </c>
      <c r="R344" s="6"/>
    </row>
    <row r="345" spans="1:18" ht="15" hidden="1" thickBot="1" x14ac:dyDescent="0.25">
      <c r="A345" s="74"/>
      <c r="B345" s="76"/>
      <c r="C345" s="9" t="s">
        <v>89</v>
      </c>
      <c r="D345" s="10">
        <f>+D343+D341+D339+D336</f>
        <v>253000000</v>
      </c>
      <c r="E345" s="10"/>
      <c r="F345" s="10"/>
      <c r="G345" s="10">
        <f>+G343+G341+G339+G336</f>
        <v>196063600</v>
      </c>
      <c r="H345" s="11">
        <f>+H343+H341+H339+H336</f>
        <v>54435500</v>
      </c>
      <c r="I345" s="10">
        <f>+G345+H345</f>
        <v>250499100</v>
      </c>
      <c r="J345" s="12">
        <f>+I345/D345</f>
        <v>0.99011501976284588</v>
      </c>
      <c r="K345" s="10">
        <f>+K343+K341+K339+K336</f>
        <v>195569100</v>
      </c>
      <c r="L345" s="10">
        <f>+L343+L341+L339+L336</f>
        <v>54908000</v>
      </c>
      <c r="M345" s="10">
        <f>+K345+L345</f>
        <v>250477100</v>
      </c>
      <c r="N345" s="12">
        <f>+M345/D345</f>
        <v>0.9900280632411067</v>
      </c>
      <c r="O345" s="10">
        <f>+D345-I345</f>
        <v>2500900</v>
      </c>
      <c r="P345" s="77"/>
      <c r="Q345" s="6" t="str">
        <f t="shared" si="141"/>
        <v>OKE</v>
      </c>
      <c r="R345" s="6"/>
    </row>
    <row r="346" spans="1:18" ht="15" hidden="1" thickBot="1" x14ac:dyDescent="0.25">
      <c r="A346" s="85"/>
      <c r="B346" s="261"/>
      <c r="C346" s="34" t="s">
        <v>90</v>
      </c>
      <c r="D346" s="49"/>
      <c r="E346" s="49"/>
      <c r="F346" s="49"/>
      <c r="G346" s="261"/>
      <c r="H346" s="262"/>
      <c r="I346" s="261"/>
      <c r="J346" s="261"/>
      <c r="K346" s="261"/>
      <c r="L346" s="261"/>
      <c r="M346" s="261"/>
      <c r="N346" s="261"/>
      <c r="O346" s="261"/>
      <c r="P346" s="77"/>
      <c r="Q346" s="6" t="str">
        <f t="shared" si="141"/>
        <v>OKE</v>
      </c>
      <c r="R346" s="6"/>
    </row>
    <row r="347" spans="1:18" ht="15" hidden="1" thickBot="1" x14ac:dyDescent="0.25">
      <c r="A347" s="74"/>
      <c r="B347" s="76"/>
      <c r="C347" s="76"/>
      <c r="D347" s="8"/>
      <c r="E347" s="8"/>
      <c r="F347" s="8"/>
      <c r="G347" s="76"/>
      <c r="H347" s="82"/>
      <c r="I347" s="76"/>
      <c r="J347" s="76"/>
      <c r="K347" s="76"/>
      <c r="L347" s="76"/>
      <c r="M347" s="76"/>
      <c r="N347" s="76"/>
      <c r="O347" s="76"/>
      <c r="P347" s="50"/>
      <c r="Q347" s="6" t="str">
        <f t="shared" si="141"/>
        <v>OKE</v>
      </c>
      <c r="R347" s="6"/>
    </row>
    <row r="348" spans="1:18" ht="15" hidden="1" thickBot="1" x14ac:dyDescent="0.25">
      <c r="A348" s="7" t="s">
        <v>41</v>
      </c>
      <c r="B348" s="7" t="s">
        <v>54</v>
      </c>
      <c r="C348" s="9" t="s">
        <v>91</v>
      </c>
      <c r="D348" s="10">
        <f>+D351</f>
        <v>105000000</v>
      </c>
      <c r="E348" s="10"/>
      <c r="F348" s="10"/>
      <c r="G348" s="10">
        <f>+G351</f>
        <v>105000000</v>
      </c>
      <c r="H348" s="11">
        <f>+H351</f>
        <v>0</v>
      </c>
      <c r="I348" s="10">
        <f>+G348+H348</f>
        <v>105000000</v>
      </c>
      <c r="J348" s="12">
        <f>+I348/D348</f>
        <v>1</v>
      </c>
      <c r="K348" s="10">
        <f>+K351</f>
        <v>104800000</v>
      </c>
      <c r="L348" s="10">
        <f>+L351</f>
        <v>0</v>
      </c>
      <c r="M348" s="10">
        <f>+K348+L348</f>
        <v>104800000</v>
      </c>
      <c r="N348" s="12">
        <f>+M348/D348</f>
        <v>0.99809523809523815</v>
      </c>
      <c r="O348" s="10">
        <f>+D348-I348</f>
        <v>0</v>
      </c>
      <c r="P348" s="5"/>
      <c r="Q348" s="6" t="str">
        <f t="shared" si="141"/>
        <v>OKE</v>
      </c>
      <c r="R348" s="6"/>
    </row>
    <row r="349" spans="1:18" ht="15" hidden="1" thickBot="1" x14ac:dyDescent="0.25">
      <c r="A349" s="74"/>
      <c r="B349" s="76"/>
      <c r="C349" s="9" t="s">
        <v>92</v>
      </c>
      <c r="D349" s="15"/>
      <c r="E349" s="15"/>
      <c r="F349" s="15"/>
      <c r="G349" s="80"/>
      <c r="H349" s="79"/>
      <c r="I349" s="80"/>
      <c r="J349" s="80"/>
      <c r="K349" s="80"/>
      <c r="L349" s="76"/>
      <c r="M349" s="76"/>
      <c r="N349" s="76"/>
      <c r="O349" s="76"/>
      <c r="P349" s="5"/>
      <c r="Q349" s="6" t="str">
        <f t="shared" si="141"/>
        <v>OKE</v>
      </c>
      <c r="R349" s="6"/>
    </row>
    <row r="350" spans="1:18" ht="15" hidden="1" thickBot="1" x14ac:dyDescent="0.25">
      <c r="A350" s="74"/>
      <c r="B350" s="76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41"/>
        <v>OKE</v>
      </c>
      <c r="R350" s="6"/>
    </row>
    <row r="351" spans="1:18" ht="15" hidden="1" thickBot="1" x14ac:dyDescent="0.25">
      <c r="A351" s="74">
        <v>10</v>
      </c>
      <c r="B351" s="75" t="s">
        <v>43</v>
      </c>
      <c r="C351" s="8" t="s">
        <v>93</v>
      </c>
      <c r="D351" s="15">
        <v>105000000</v>
      </c>
      <c r="E351" s="15"/>
      <c r="F351" s="15"/>
      <c r="G351" s="80">
        <v>105000000</v>
      </c>
      <c r="H351" s="79">
        <v>0</v>
      </c>
      <c r="I351" s="15">
        <f>+G351+H351</f>
        <v>105000000</v>
      </c>
      <c r="J351" s="16">
        <f>+I351/D351</f>
        <v>1</v>
      </c>
      <c r="K351" s="80">
        <v>104800000</v>
      </c>
      <c r="L351" s="80">
        <v>0</v>
      </c>
      <c r="M351" s="80">
        <f>+K351+L351</f>
        <v>104800000</v>
      </c>
      <c r="N351" s="16">
        <f>+M351/D351</f>
        <v>0.99809523809523815</v>
      </c>
      <c r="O351" s="80">
        <f>+D351-I351</f>
        <v>0</v>
      </c>
      <c r="P351" s="5"/>
      <c r="Q351" s="6" t="str">
        <f t="shared" si="141"/>
        <v>OKE</v>
      </c>
      <c r="R351" s="6"/>
    </row>
    <row r="352" spans="1:18" ht="15" hidden="1" thickBot="1" x14ac:dyDescent="0.25">
      <c r="A352" s="74"/>
      <c r="B352" s="74"/>
      <c r="C352" s="76"/>
      <c r="D352" s="15"/>
      <c r="E352" s="15"/>
      <c r="F352" s="15"/>
      <c r="G352" s="80"/>
      <c r="H352" s="79"/>
      <c r="I352" s="80"/>
      <c r="J352" s="80"/>
      <c r="K352" s="80"/>
      <c r="L352" s="76"/>
      <c r="M352" s="76"/>
      <c r="N352" s="76"/>
      <c r="O352" s="76"/>
      <c r="P352" s="5"/>
      <c r="Q352" s="6" t="str">
        <f t="shared" si="141"/>
        <v>OKE</v>
      </c>
      <c r="R352" s="6"/>
    </row>
    <row r="353" spans="1:18" ht="15" hidden="1" thickBot="1" x14ac:dyDescent="0.25">
      <c r="A353" s="74"/>
      <c r="B353" s="74"/>
      <c r="C353" s="9" t="s">
        <v>94</v>
      </c>
      <c r="D353" s="10">
        <f>+D351</f>
        <v>105000000</v>
      </c>
      <c r="E353" s="10"/>
      <c r="F353" s="10"/>
      <c r="G353" s="10">
        <f>+G351</f>
        <v>105000000</v>
      </c>
      <c r="H353" s="11">
        <f>+H351</f>
        <v>0</v>
      </c>
      <c r="I353" s="10">
        <f>+G353+H353</f>
        <v>105000000</v>
      </c>
      <c r="J353" s="12">
        <f>+I353/D353</f>
        <v>1</v>
      </c>
      <c r="K353" s="10">
        <f>+K351</f>
        <v>104800000</v>
      </c>
      <c r="L353" s="10">
        <f>+L351</f>
        <v>0</v>
      </c>
      <c r="M353" s="10">
        <f>+K353+L353</f>
        <v>104800000</v>
      </c>
      <c r="N353" s="12">
        <f>+M353/D353</f>
        <v>0.99809523809523815</v>
      </c>
      <c r="O353" s="10">
        <f>+D353-I353</f>
        <v>0</v>
      </c>
      <c r="P353" s="5"/>
      <c r="Q353" s="6" t="str">
        <f t="shared" si="141"/>
        <v>OKE</v>
      </c>
      <c r="R353" s="6"/>
    </row>
    <row r="354" spans="1:18" ht="15" hidden="1" thickBot="1" x14ac:dyDescent="0.25">
      <c r="A354" s="85"/>
      <c r="B354" s="85"/>
      <c r="C354" s="34" t="s">
        <v>55</v>
      </c>
      <c r="D354" s="35"/>
      <c r="E354" s="35"/>
      <c r="F354" s="35"/>
      <c r="G354" s="259"/>
      <c r="H354" s="260"/>
      <c r="I354" s="259"/>
      <c r="J354" s="259"/>
      <c r="K354" s="259"/>
      <c r="L354" s="261"/>
      <c r="M354" s="261"/>
      <c r="N354" s="261"/>
      <c r="O354" s="261"/>
      <c r="P354" s="5"/>
      <c r="Q354" s="6" t="str">
        <f t="shared" si="141"/>
        <v>OKE</v>
      </c>
      <c r="R354" s="6"/>
    </row>
    <row r="355" spans="1:18" ht="15" hidden="1" thickBot="1" x14ac:dyDescent="0.25">
      <c r="A355" s="91"/>
      <c r="B355" s="91"/>
      <c r="C355" s="51"/>
      <c r="D355" s="52"/>
      <c r="E355" s="52"/>
      <c r="F355" s="52"/>
      <c r="G355" s="263"/>
      <c r="H355" s="264"/>
      <c r="I355" s="263"/>
      <c r="J355" s="263"/>
      <c r="K355" s="263"/>
      <c r="L355" s="265"/>
      <c r="M355" s="265"/>
      <c r="N355" s="265"/>
      <c r="O355" s="265"/>
      <c r="P355" s="5"/>
      <c r="Q355" s="6" t="str">
        <f t="shared" si="141"/>
        <v>OKE</v>
      </c>
      <c r="R355" s="6"/>
    </row>
    <row r="356" spans="1:18" ht="15" hidden="1" thickBot="1" x14ac:dyDescent="0.25">
      <c r="A356" s="411" t="s">
        <v>95</v>
      </c>
      <c r="B356" s="411"/>
      <c r="C356" s="413" t="s">
        <v>96</v>
      </c>
      <c r="D356" s="415">
        <f>+D353+D345+D300+D292</f>
        <v>785575000</v>
      </c>
      <c r="E356" s="198"/>
      <c r="F356" s="198"/>
      <c r="G356" s="415">
        <f>+G353+G345+G300+G292</f>
        <v>476993900</v>
      </c>
      <c r="H356" s="417">
        <f>+H353+H345+H300+H292</f>
        <v>281460500</v>
      </c>
      <c r="I356" s="415">
        <f>+G356+H356</f>
        <v>758454400</v>
      </c>
      <c r="J356" s="419">
        <f>+I356/D356</f>
        <v>0.96547675269706901</v>
      </c>
      <c r="K356" s="415">
        <f>+K353+K345+K300+K292</f>
        <v>468063900</v>
      </c>
      <c r="L356" s="415">
        <f>+L353+L345+L300+L292</f>
        <v>279050600</v>
      </c>
      <c r="M356" s="421">
        <f>+K356+L356</f>
        <v>747114500</v>
      </c>
      <c r="N356" s="423">
        <f>+M356/D356</f>
        <v>0.95104159373707153</v>
      </c>
      <c r="O356" s="421">
        <f>+D356-I356</f>
        <v>27120600</v>
      </c>
      <c r="P356" s="5"/>
      <c r="Q356" s="6" t="str">
        <f t="shared" si="141"/>
        <v>OKE</v>
      </c>
      <c r="R356" s="6"/>
    </row>
    <row r="357" spans="1:18" ht="15" hidden="1" thickBot="1" x14ac:dyDescent="0.25">
      <c r="A357" s="412"/>
      <c r="B357" s="412"/>
      <c r="C357" s="414"/>
      <c r="D357" s="416"/>
      <c r="E357" s="199"/>
      <c r="F357" s="199"/>
      <c r="G357" s="416"/>
      <c r="H357" s="418"/>
      <c r="I357" s="416"/>
      <c r="J357" s="420"/>
      <c r="K357" s="416"/>
      <c r="L357" s="416"/>
      <c r="M357" s="422"/>
      <c r="N357" s="424"/>
      <c r="O357" s="422"/>
      <c r="P357" s="5"/>
      <c r="Q357" s="6" t="str">
        <f t="shared" si="141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41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41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41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41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41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41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41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41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41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41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41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41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41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41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si="141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41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ref="Q374:Q437" si="142">IF(M374&lt;=I374,"OKE","Salah")</f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42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42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42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267"/>
      <c r="M378" s="90"/>
      <c r="N378" s="90"/>
      <c r="O378" s="90"/>
      <c r="P378" s="5"/>
      <c r="Q378" s="6" t="str">
        <f t="shared" si="142"/>
        <v>OKE</v>
      </c>
      <c r="R378" s="6"/>
    </row>
    <row r="379" spans="1:18" ht="15" hidden="1" thickBot="1" x14ac:dyDescent="0.25">
      <c r="A379" s="90"/>
      <c r="B379" s="90"/>
      <c r="C379" s="37"/>
      <c r="D379" s="37"/>
      <c r="E379" s="37"/>
      <c r="F379" s="37"/>
      <c r="G379" s="90"/>
      <c r="H379" s="266"/>
      <c r="I379" s="90"/>
      <c r="J379" s="90"/>
      <c r="K379" s="90"/>
      <c r="L379" s="267"/>
      <c r="M379" s="90"/>
      <c r="N379" s="90"/>
      <c r="O379" s="90"/>
      <c r="P379" s="5"/>
      <c r="Q379" s="6" t="str">
        <f t="shared" si="142"/>
        <v>OKE</v>
      </c>
      <c r="R379" s="6"/>
    </row>
    <row r="380" spans="1:18" ht="14.1" hidden="1" customHeight="1" x14ac:dyDescent="0.2">
      <c r="A380" s="410" t="s">
        <v>0</v>
      </c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5"/>
      <c r="Q380" s="6" t="str">
        <f t="shared" si="142"/>
        <v>OKE</v>
      </c>
      <c r="R380" s="6"/>
    </row>
    <row r="381" spans="1:18" ht="14.1" hidden="1" customHeight="1" x14ac:dyDescent="0.2">
      <c r="A381" s="410" t="s">
        <v>1</v>
      </c>
      <c r="B381" s="410"/>
      <c r="C381" s="410"/>
      <c r="D381" s="410"/>
      <c r="E381" s="410"/>
      <c r="F381" s="410"/>
      <c r="G381" s="410"/>
      <c r="H381" s="410"/>
      <c r="I381" s="410"/>
      <c r="J381" s="410"/>
      <c r="K381" s="410"/>
      <c r="L381" s="410"/>
      <c r="M381" s="410"/>
      <c r="N381" s="410"/>
      <c r="O381" s="410"/>
      <c r="P381" s="5"/>
      <c r="Q381" s="6" t="str">
        <f t="shared" si="142"/>
        <v>OKE</v>
      </c>
      <c r="R381" s="6"/>
    </row>
    <row r="382" spans="1:18" ht="14.1" hidden="1" customHeight="1" x14ac:dyDescent="0.2">
      <c r="A382" s="407" t="s">
        <v>111</v>
      </c>
      <c r="B382" s="407"/>
      <c r="C382" s="407"/>
      <c r="D382" s="407"/>
      <c r="E382" s="407"/>
      <c r="F382" s="407"/>
      <c r="G382" s="407"/>
      <c r="H382" s="407"/>
      <c r="I382" s="407"/>
      <c r="J382" s="407"/>
      <c r="K382" s="407"/>
      <c r="L382" s="407"/>
      <c r="M382" s="407"/>
      <c r="N382" s="407"/>
      <c r="O382" s="407"/>
      <c r="P382" s="5"/>
      <c r="Q382" s="6" t="str">
        <f t="shared" si="142"/>
        <v>OKE</v>
      </c>
      <c r="R382" s="6"/>
    </row>
    <row r="383" spans="1:18" ht="14.1" hidden="1" customHeight="1" x14ac:dyDescent="0.2">
      <c r="A383" s="361" t="s">
        <v>2</v>
      </c>
      <c r="B383" s="361" t="s">
        <v>3</v>
      </c>
      <c r="C383" s="361" t="s">
        <v>4</v>
      </c>
      <c r="D383" s="361" t="s">
        <v>5</v>
      </c>
      <c r="E383" s="197"/>
      <c r="F383" s="197"/>
      <c r="G383" s="358" t="s">
        <v>11</v>
      </c>
      <c r="H383" s="359"/>
      <c r="I383" s="359"/>
      <c r="J383" s="360"/>
      <c r="K383" s="358" t="s">
        <v>9</v>
      </c>
      <c r="L383" s="359"/>
      <c r="M383" s="359"/>
      <c r="N383" s="360"/>
      <c r="O383" s="361" t="s">
        <v>10</v>
      </c>
      <c r="P383" s="5"/>
      <c r="Q383" s="6" t="str">
        <f t="shared" si="142"/>
        <v>OKE</v>
      </c>
      <c r="R383" s="6"/>
    </row>
    <row r="384" spans="1:18" ht="14.1" hidden="1" customHeight="1" x14ac:dyDescent="0.2">
      <c r="A384" s="362"/>
      <c r="B384" s="362"/>
      <c r="C384" s="362"/>
      <c r="D384" s="362"/>
      <c r="E384" s="44"/>
      <c r="F384" s="44"/>
      <c r="G384" s="358" t="s">
        <v>74</v>
      </c>
      <c r="H384" s="359"/>
      <c r="I384" s="359"/>
      <c r="J384" s="360"/>
      <c r="K384" s="358" t="s">
        <v>12</v>
      </c>
      <c r="L384" s="359"/>
      <c r="M384" s="359"/>
      <c r="N384" s="360"/>
      <c r="O384" s="362"/>
      <c r="P384" s="5"/>
      <c r="Q384" s="6" t="str">
        <f t="shared" si="142"/>
        <v>OKE</v>
      </c>
      <c r="R384" s="6"/>
    </row>
    <row r="385" spans="1:18" ht="15" hidden="1" thickBot="1" x14ac:dyDescent="0.25">
      <c r="A385" s="378"/>
      <c r="B385" s="378"/>
      <c r="C385" s="378"/>
      <c r="D385" s="378"/>
      <c r="E385" s="196"/>
      <c r="F385" s="196"/>
      <c r="G385" s="144" t="s">
        <v>13</v>
      </c>
      <c r="H385" s="145" t="s">
        <v>14</v>
      </c>
      <c r="I385" s="144" t="s">
        <v>15</v>
      </c>
      <c r="J385" s="144" t="s">
        <v>16</v>
      </c>
      <c r="K385" s="144" t="s">
        <v>13</v>
      </c>
      <c r="L385" s="144" t="s">
        <v>14</v>
      </c>
      <c r="M385" s="144" t="s">
        <v>15</v>
      </c>
      <c r="N385" s="144" t="s">
        <v>16</v>
      </c>
      <c r="O385" s="378"/>
      <c r="P385" s="5"/>
      <c r="Q385" s="6" t="str">
        <f t="shared" si="142"/>
        <v>OKE</v>
      </c>
      <c r="R385" s="6"/>
    </row>
    <row r="386" spans="1:18" ht="15" hidden="1" thickBot="1" x14ac:dyDescent="0.25">
      <c r="A386" s="2">
        <v>1</v>
      </c>
      <c r="B386" s="2">
        <v>2</v>
      </c>
      <c r="C386" s="2">
        <v>3</v>
      </c>
      <c r="D386" s="2">
        <v>4</v>
      </c>
      <c r="E386" s="2"/>
      <c r="F386" s="2"/>
      <c r="G386" s="2">
        <v>5</v>
      </c>
      <c r="H386" s="145">
        <v>6</v>
      </c>
      <c r="I386" s="45" t="s">
        <v>77</v>
      </c>
      <c r="J386" s="45" t="s">
        <v>78</v>
      </c>
      <c r="K386" s="45">
        <v>9</v>
      </c>
      <c r="L386" s="45">
        <v>10</v>
      </c>
      <c r="M386" s="45" t="s">
        <v>79</v>
      </c>
      <c r="N386" s="45" t="s">
        <v>80</v>
      </c>
      <c r="O386" s="45" t="s">
        <v>81</v>
      </c>
      <c r="P386" s="5"/>
      <c r="Q386" s="6" t="str">
        <f t="shared" si="142"/>
        <v>OKE</v>
      </c>
      <c r="R386" s="6"/>
    </row>
    <row r="387" spans="1:18" ht="15" hidden="1" thickBot="1" x14ac:dyDescent="0.25">
      <c r="A387" s="74"/>
      <c r="B387" s="76"/>
      <c r="C387" s="76"/>
      <c r="D387" s="8"/>
      <c r="E387" s="8"/>
      <c r="F387" s="8"/>
      <c r="G387" s="76"/>
      <c r="H387" s="82"/>
      <c r="I387" s="76"/>
      <c r="J387" s="76"/>
      <c r="K387" s="76"/>
      <c r="L387" s="76"/>
      <c r="M387" s="76"/>
      <c r="N387" s="241"/>
      <c r="O387" s="241"/>
      <c r="P387" s="5"/>
      <c r="Q387" s="6" t="str">
        <f t="shared" si="142"/>
        <v>OKE</v>
      </c>
      <c r="R387" s="6"/>
    </row>
    <row r="388" spans="1:18" ht="15" hidden="1" thickBot="1" x14ac:dyDescent="0.25">
      <c r="A388" s="74"/>
      <c r="B388" s="76"/>
      <c r="C388" s="244" t="s">
        <v>97</v>
      </c>
      <c r="D388" s="8"/>
      <c r="E388" s="8"/>
      <c r="F388" s="8"/>
      <c r="G388" s="76"/>
      <c r="H388" s="82"/>
      <c r="I388" s="76"/>
      <c r="J388" s="76"/>
      <c r="K388" s="76"/>
      <c r="L388" s="76"/>
      <c r="M388" s="76"/>
      <c r="N388" s="76"/>
      <c r="O388" s="76"/>
      <c r="P388" s="5"/>
      <c r="Q388" s="6" t="str">
        <f t="shared" si="142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42"/>
        <v>OKE</v>
      </c>
      <c r="R389" s="6"/>
    </row>
    <row r="390" spans="1:18" ht="15" hidden="1" thickBot="1" x14ac:dyDescent="0.25">
      <c r="A390" s="7" t="s">
        <v>22</v>
      </c>
      <c r="B390" s="7" t="s">
        <v>23</v>
      </c>
      <c r="C390" s="9" t="s">
        <v>45</v>
      </c>
      <c r="D390" s="10">
        <f>+D392+D394+D399+D401+D403+D405+D407+D409</f>
        <v>268080000</v>
      </c>
      <c r="E390" s="10"/>
      <c r="F390" s="10"/>
      <c r="G390" s="10">
        <f>+G392+G394+G399+G401+G403+G405+G407+G409</f>
        <v>133763800</v>
      </c>
      <c r="H390" s="11">
        <f>+H392+H394+H399+H401+H403+H405+H407+H409</f>
        <v>8628300</v>
      </c>
      <c r="I390" s="10">
        <f>+G390+H390</f>
        <v>142392100</v>
      </c>
      <c r="J390" s="12">
        <f>+I390/D390</f>
        <v>0.53115525216353332</v>
      </c>
      <c r="K390" s="10">
        <f>+K392+K394+K399+K401+K403+K405+K407+K409</f>
        <v>114241700</v>
      </c>
      <c r="L390" s="10">
        <f>+L392+L394+L399+L401+L403+L405+L407+L409</f>
        <v>26474800</v>
      </c>
      <c r="M390" s="10">
        <f>+K390+L390</f>
        <v>140716500</v>
      </c>
      <c r="N390" s="12">
        <f>+M390/D390</f>
        <v>0.52490487914055506</v>
      </c>
      <c r="O390" s="10">
        <f>+D390-I390</f>
        <v>125687900</v>
      </c>
      <c r="P390" s="5"/>
      <c r="Q390" s="6" t="str">
        <f t="shared" si="142"/>
        <v>OKE</v>
      </c>
      <c r="R390" s="6"/>
    </row>
    <row r="391" spans="1:18" ht="15" hidden="1" thickBot="1" x14ac:dyDescent="0.25">
      <c r="A391" s="74"/>
      <c r="B391" s="74"/>
      <c r="C391" s="76"/>
      <c r="D391" s="53"/>
      <c r="E391" s="53"/>
      <c r="F391" s="53"/>
      <c r="G391" s="268"/>
      <c r="H391" s="269"/>
      <c r="I391" s="268"/>
      <c r="J391" s="268"/>
      <c r="K391" s="268"/>
      <c r="L391" s="76"/>
      <c r="M391" s="76"/>
      <c r="N391" s="76"/>
      <c r="O391" s="76"/>
      <c r="P391" s="5"/>
      <c r="Q391" s="6" t="str">
        <f t="shared" si="142"/>
        <v>OKE</v>
      </c>
      <c r="R391" s="6"/>
    </row>
    <row r="392" spans="1:18" ht="15" hidden="1" thickBot="1" x14ac:dyDescent="0.25">
      <c r="A392" s="74">
        <v>1</v>
      </c>
      <c r="B392" s="75" t="s">
        <v>43</v>
      </c>
      <c r="C392" s="76" t="s">
        <v>98</v>
      </c>
      <c r="D392" s="15">
        <v>15000000</v>
      </c>
      <c r="E392" s="15"/>
      <c r="F392" s="15"/>
      <c r="G392" s="80">
        <v>11390500</v>
      </c>
      <c r="H392" s="79">
        <v>1097000</v>
      </c>
      <c r="I392" s="15">
        <f>+G392+H392</f>
        <v>12487500</v>
      </c>
      <c r="J392" s="16">
        <f>+I392/D392</f>
        <v>0.83250000000000002</v>
      </c>
      <c r="K392" s="80">
        <v>8898000</v>
      </c>
      <c r="L392" s="80">
        <v>1952000</v>
      </c>
      <c r="M392" s="80">
        <f>+K392+L392</f>
        <v>10850000</v>
      </c>
      <c r="N392" s="16">
        <f>+M392/D392</f>
        <v>0.72333333333333338</v>
      </c>
      <c r="O392" s="80">
        <f>+D392-I392</f>
        <v>2512500</v>
      </c>
      <c r="P392" s="5"/>
      <c r="Q392" s="6" t="str">
        <f t="shared" si="142"/>
        <v>OKE</v>
      </c>
      <c r="R392" s="6"/>
    </row>
    <row r="393" spans="1:18" ht="15" hidden="1" thickBot="1" x14ac:dyDescent="0.25">
      <c r="A393" s="74"/>
      <c r="B393" s="74"/>
      <c r="C393" s="76"/>
      <c r="D393" s="15"/>
      <c r="E393" s="15"/>
      <c r="F393" s="15"/>
      <c r="G393" s="80"/>
      <c r="H393" s="79"/>
      <c r="I393" s="80"/>
      <c r="J393" s="80"/>
      <c r="K393" s="80"/>
      <c r="L393" s="76"/>
      <c r="M393" s="76"/>
      <c r="N393" s="76"/>
      <c r="O393" s="76"/>
      <c r="P393" s="5"/>
      <c r="Q393" s="6" t="str">
        <f t="shared" si="142"/>
        <v>OKE</v>
      </c>
      <c r="R393" s="6"/>
    </row>
    <row r="394" spans="1:18" ht="15" hidden="1" thickBot="1" x14ac:dyDescent="0.25">
      <c r="A394" s="74">
        <v>2</v>
      </c>
      <c r="B394" s="75" t="s">
        <v>39</v>
      </c>
      <c r="C394" s="76" t="s">
        <v>50</v>
      </c>
      <c r="D394" s="15">
        <v>5000000</v>
      </c>
      <c r="E394" s="15"/>
      <c r="F394" s="15"/>
      <c r="G394" s="80">
        <v>4980000</v>
      </c>
      <c r="H394" s="79">
        <v>0</v>
      </c>
      <c r="I394" s="15">
        <f>+G394+H394</f>
        <v>4980000</v>
      </c>
      <c r="J394" s="16">
        <f>+I394/D394</f>
        <v>0.996</v>
      </c>
      <c r="K394" s="80">
        <v>3320000</v>
      </c>
      <c r="L394" s="80">
        <v>1660000</v>
      </c>
      <c r="M394" s="80">
        <f>+K394+L394</f>
        <v>4980000</v>
      </c>
      <c r="N394" s="16">
        <f>+M394/D394</f>
        <v>0.996</v>
      </c>
      <c r="O394" s="80">
        <f>+D394-I394</f>
        <v>20000</v>
      </c>
      <c r="P394" s="5"/>
      <c r="Q394" s="6" t="str">
        <f t="shared" si="142"/>
        <v>OKE</v>
      </c>
      <c r="R394" s="6"/>
    </row>
    <row r="395" spans="1:18" ht="15" hidden="1" thickBot="1" x14ac:dyDescent="0.25">
      <c r="A395" s="74"/>
      <c r="B395" s="75"/>
      <c r="C395" s="76"/>
      <c r="D395" s="15"/>
      <c r="E395" s="15"/>
      <c r="F395" s="15"/>
      <c r="G395" s="80"/>
      <c r="H395" s="79"/>
      <c r="I395" s="15"/>
      <c r="J395" s="16"/>
      <c r="K395" s="80"/>
      <c r="L395" s="80"/>
      <c r="M395" s="80"/>
      <c r="N395" s="16"/>
      <c r="O395" s="80"/>
      <c r="P395" s="5"/>
      <c r="Q395" s="6" t="str">
        <f t="shared" si="142"/>
        <v>OKE</v>
      </c>
      <c r="R395" s="6"/>
    </row>
    <row r="396" spans="1:18" ht="15" hidden="1" thickBot="1" x14ac:dyDescent="0.25">
      <c r="A396" s="74"/>
      <c r="B396" s="18" t="s">
        <v>24</v>
      </c>
      <c r="C396" s="19" t="s">
        <v>25</v>
      </c>
      <c r="D396" s="20">
        <v>77530000</v>
      </c>
      <c r="E396" s="20"/>
      <c r="F396" s="20"/>
      <c r="G396" s="20">
        <v>37840000</v>
      </c>
      <c r="H396" s="21">
        <v>3330000</v>
      </c>
      <c r="I396" s="20">
        <f>+G396+H396</f>
        <v>41170000</v>
      </c>
      <c r="J396" s="22">
        <f>+I396/D396</f>
        <v>0.53102025022571908</v>
      </c>
      <c r="K396" s="20">
        <v>34735000</v>
      </c>
      <c r="L396" s="20">
        <v>2880000</v>
      </c>
      <c r="M396" s="20">
        <f>+K396+L396</f>
        <v>37615000</v>
      </c>
      <c r="N396" s="22">
        <f>+M396/D396</f>
        <v>0.48516703211660001</v>
      </c>
      <c r="O396" s="20">
        <f>+D396-I396</f>
        <v>36360000</v>
      </c>
      <c r="P396" s="5"/>
      <c r="Q396" s="6" t="str">
        <f t="shared" si="142"/>
        <v>OKE</v>
      </c>
      <c r="R396" s="6"/>
    </row>
    <row r="397" spans="1:18" ht="15" hidden="1" thickBot="1" x14ac:dyDescent="0.25">
      <c r="A397" s="74"/>
      <c r="B397" s="18" t="s">
        <v>24</v>
      </c>
      <c r="C397" s="19" t="s">
        <v>28</v>
      </c>
      <c r="D397" s="20">
        <v>-34450000</v>
      </c>
      <c r="E397" s="20"/>
      <c r="F397" s="20"/>
      <c r="G397" s="20"/>
      <c r="H397" s="21">
        <v>-9800000</v>
      </c>
      <c r="I397" s="20"/>
      <c r="J397" s="22"/>
      <c r="K397" s="20"/>
      <c r="L397" s="20">
        <v>-9800000</v>
      </c>
      <c r="M397" s="20"/>
      <c r="N397" s="22"/>
      <c r="O397" s="20"/>
      <c r="P397" s="5"/>
      <c r="Q397" s="6" t="str">
        <f t="shared" si="142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15"/>
      <c r="J398" s="16"/>
      <c r="K398" s="80"/>
      <c r="L398" s="76"/>
      <c r="M398" s="80"/>
      <c r="N398" s="16"/>
      <c r="O398" s="80"/>
      <c r="P398" s="5"/>
      <c r="Q398" s="6" t="str">
        <f t="shared" si="142"/>
        <v>OKE</v>
      </c>
      <c r="R398" s="6"/>
    </row>
    <row r="399" spans="1:18" ht="15" hidden="1" thickBot="1" x14ac:dyDescent="0.25">
      <c r="A399" s="74">
        <v>4</v>
      </c>
      <c r="B399" s="75" t="s">
        <v>24</v>
      </c>
      <c r="C399" s="76" t="s">
        <v>25</v>
      </c>
      <c r="D399" s="15">
        <v>43080000</v>
      </c>
      <c r="E399" s="15"/>
      <c r="F399" s="15"/>
      <c r="G399" s="80">
        <v>38030000</v>
      </c>
      <c r="H399" s="79">
        <v>0</v>
      </c>
      <c r="I399" s="15">
        <f>+G399+H399</f>
        <v>38030000</v>
      </c>
      <c r="J399" s="16">
        <f>+I399/D399</f>
        <v>0.88277623026926644</v>
      </c>
      <c r="K399" s="80">
        <v>31370000</v>
      </c>
      <c r="L399" s="80">
        <v>6660000</v>
      </c>
      <c r="M399" s="80">
        <f>+K399+L399</f>
        <v>38030000</v>
      </c>
      <c r="N399" s="16">
        <f>+M399/D399</f>
        <v>0.88277623026926644</v>
      </c>
      <c r="O399" s="80">
        <f>+D399-I399</f>
        <v>5050000</v>
      </c>
      <c r="P399" s="5"/>
      <c r="Q399" s="6" t="str">
        <f t="shared" si="142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42"/>
        <v>OKE</v>
      </c>
      <c r="R400" s="6"/>
    </row>
    <row r="401" spans="1:18" ht="15" hidden="1" thickBot="1" x14ac:dyDescent="0.25">
      <c r="A401" s="74">
        <v>5</v>
      </c>
      <c r="B401" s="75" t="s">
        <v>46</v>
      </c>
      <c r="C401" s="76" t="s">
        <v>47</v>
      </c>
      <c r="D401" s="15">
        <v>30000000</v>
      </c>
      <c r="E401" s="15"/>
      <c r="F401" s="15"/>
      <c r="G401" s="80">
        <v>15789600</v>
      </c>
      <c r="H401" s="79">
        <v>1434200</v>
      </c>
      <c r="I401" s="15">
        <f>+G401+H401</f>
        <v>17223800</v>
      </c>
      <c r="J401" s="16">
        <f>+I401/D401</f>
        <v>0.57412666666666667</v>
      </c>
      <c r="K401" s="80">
        <v>14316300</v>
      </c>
      <c r="L401" s="80">
        <v>2869400</v>
      </c>
      <c r="M401" s="80">
        <f>+K401+L401</f>
        <v>17185700</v>
      </c>
      <c r="N401" s="16">
        <f>+M401/D401</f>
        <v>0.57285666666666668</v>
      </c>
      <c r="O401" s="80">
        <f>+D401-I401</f>
        <v>12776200</v>
      </c>
      <c r="P401" s="5"/>
      <c r="Q401" s="6" t="str">
        <f t="shared" si="142"/>
        <v>OKE</v>
      </c>
      <c r="R401" s="6"/>
    </row>
    <row r="402" spans="1:18" ht="15" hidden="1" thickBot="1" x14ac:dyDescent="0.25">
      <c r="A402" s="74"/>
      <c r="B402" s="74"/>
      <c r="C402" s="76"/>
      <c r="D402" s="15"/>
      <c r="E402" s="15"/>
      <c r="F402" s="15"/>
      <c r="G402" s="80"/>
      <c r="H402" s="79"/>
      <c r="I402" s="80"/>
      <c r="J402" s="80"/>
      <c r="K402" s="80"/>
      <c r="L402" s="76"/>
      <c r="M402" s="76"/>
      <c r="N402" s="76"/>
      <c r="O402" s="76"/>
      <c r="P402" s="5"/>
      <c r="Q402" s="6" t="str">
        <f t="shared" si="142"/>
        <v>OKE</v>
      </c>
      <c r="R402" s="6"/>
    </row>
    <row r="403" spans="1:18" ht="15" hidden="1" thickBot="1" x14ac:dyDescent="0.25">
      <c r="A403" s="74">
        <v>6</v>
      </c>
      <c r="B403" s="75" t="s">
        <v>26</v>
      </c>
      <c r="C403" s="76" t="s">
        <v>27</v>
      </c>
      <c r="D403" s="15">
        <v>98400000</v>
      </c>
      <c r="E403" s="15"/>
      <c r="F403" s="15"/>
      <c r="G403" s="80">
        <v>27741800</v>
      </c>
      <c r="H403" s="79">
        <v>1373600</v>
      </c>
      <c r="I403" s="15">
        <f>+G403+H403</f>
        <v>29115400</v>
      </c>
      <c r="J403" s="16">
        <f>+I403/D403</f>
        <v>0.2958882113821138</v>
      </c>
      <c r="K403" s="80">
        <v>26392700</v>
      </c>
      <c r="L403" s="80">
        <v>2722700</v>
      </c>
      <c r="M403" s="80">
        <f>+K403+L403</f>
        <v>29115400</v>
      </c>
      <c r="N403" s="16">
        <f>+M403/D403</f>
        <v>0.2958882113821138</v>
      </c>
      <c r="O403" s="80">
        <f>+D403-I403</f>
        <v>69284600</v>
      </c>
      <c r="P403" s="5"/>
      <c r="Q403" s="6" t="str">
        <f t="shared" si="142"/>
        <v>OKE</v>
      </c>
      <c r="R403" s="6"/>
    </row>
    <row r="404" spans="1:18" ht="15" hidden="1" thickBot="1" x14ac:dyDescent="0.25">
      <c r="A404" s="74"/>
      <c r="B404" s="75"/>
      <c r="C404" s="76"/>
      <c r="D404" s="15"/>
      <c r="E404" s="15"/>
      <c r="F404" s="15"/>
      <c r="G404" s="80"/>
      <c r="H404" s="79"/>
      <c r="I404" s="10"/>
      <c r="J404" s="16"/>
      <c r="K404" s="80"/>
      <c r="L404" s="93"/>
      <c r="M404" s="80"/>
      <c r="N404" s="16"/>
      <c r="O404" s="80"/>
      <c r="P404" s="5"/>
      <c r="Q404" s="6" t="str">
        <f t="shared" si="142"/>
        <v>OKE</v>
      </c>
      <c r="R404" s="6"/>
    </row>
    <row r="405" spans="1:18" ht="15" hidden="1" thickBot="1" x14ac:dyDescent="0.25">
      <c r="A405" s="74">
        <v>7</v>
      </c>
      <c r="B405" s="75" t="s">
        <v>44</v>
      </c>
      <c r="C405" s="76" t="s">
        <v>57</v>
      </c>
      <c r="D405" s="15">
        <v>5000000</v>
      </c>
      <c r="E405" s="15"/>
      <c r="F405" s="15"/>
      <c r="G405" s="80">
        <v>4999000</v>
      </c>
      <c r="H405" s="79">
        <v>0</v>
      </c>
      <c r="I405" s="15">
        <f>+G405+H405</f>
        <v>4999000</v>
      </c>
      <c r="J405" s="16">
        <v>0.999</v>
      </c>
      <c r="K405" s="80">
        <v>3953500</v>
      </c>
      <c r="L405" s="80">
        <v>1045500</v>
      </c>
      <c r="M405" s="80">
        <f>+K405+L405</f>
        <v>4999000</v>
      </c>
      <c r="N405" s="16">
        <f>+M405/D405</f>
        <v>0.99980000000000002</v>
      </c>
      <c r="O405" s="80">
        <f>+D405-I405</f>
        <v>1000</v>
      </c>
      <c r="P405" s="5"/>
      <c r="Q405" s="6" t="str">
        <f t="shared" si="142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42"/>
        <v>OKE</v>
      </c>
      <c r="R406" s="6"/>
    </row>
    <row r="407" spans="1:18" ht="15" hidden="1" thickBot="1" x14ac:dyDescent="0.25">
      <c r="A407" s="74">
        <v>8</v>
      </c>
      <c r="B407" s="75" t="s">
        <v>29</v>
      </c>
      <c r="C407" s="76" t="s">
        <v>30</v>
      </c>
      <c r="D407" s="15">
        <v>51600000</v>
      </c>
      <c r="E407" s="15"/>
      <c r="F407" s="15"/>
      <c r="G407" s="80">
        <v>13832900</v>
      </c>
      <c r="H407" s="79">
        <v>1723500</v>
      </c>
      <c r="I407" s="15">
        <f>+G407+H407</f>
        <v>15556400</v>
      </c>
      <c r="J407" s="16">
        <f>+I407/D407</f>
        <v>0.30148062015503874</v>
      </c>
      <c r="K407" s="80">
        <v>12211200</v>
      </c>
      <c r="L407" s="80">
        <v>3345200</v>
      </c>
      <c r="M407" s="80">
        <f>+K407+L407</f>
        <v>15556400</v>
      </c>
      <c r="N407" s="16">
        <f>+M407/D407</f>
        <v>0.30148062015503874</v>
      </c>
      <c r="O407" s="80">
        <f>+D407-I407</f>
        <v>36043600</v>
      </c>
      <c r="P407" s="5"/>
      <c r="Q407" s="6" t="str">
        <f t="shared" si="142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42"/>
        <v>OKE</v>
      </c>
      <c r="R408" s="6"/>
    </row>
    <row r="409" spans="1:18" ht="15" hidden="1" thickBot="1" x14ac:dyDescent="0.25">
      <c r="A409" s="74">
        <v>9</v>
      </c>
      <c r="B409" s="75" t="s">
        <v>62</v>
      </c>
      <c r="C409" s="76" t="s">
        <v>68</v>
      </c>
      <c r="D409" s="15">
        <v>20000000</v>
      </c>
      <c r="E409" s="15"/>
      <c r="F409" s="15"/>
      <c r="G409" s="80">
        <v>17000000</v>
      </c>
      <c r="H409" s="79">
        <v>3000000</v>
      </c>
      <c r="I409" s="15">
        <f>+G409+H409</f>
        <v>20000000</v>
      </c>
      <c r="J409" s="16">
        <f>+I409/D409</f>
        <v>1</v>
      </c>
      <c r="K409" s="80">
        <v>13780000</v>
      </c>
      <c r="L409" s="80">
        <v>6220000</v>
      </c>
      <c r="M409" s="80">
        <f>+K409+L409</f>
        <v>20000000</v>
      </c>
      <c r="N409" s="16">
        <f>+M409/D409</f>
        <v>1</v>
      </c>
      <c r="O409" s="80">
        <f>+D409-I409</f>
        <v>0</v>
      </c>
      <c r="P409" s="5"/>
      <c r="Q409" s="6" t="str">
        <f t="shared" si="142"/>
        <v>OKE</v>
      </c>
      <c r="R409" s="6"/>
    </row>
    <row r="410" spans="1:18" ht="15" hidden="1" thickBot="1" x14ac:dyDescent="0.25">
      <c r="A410" s="74"/>
      <c r="B410" s="74"/>
      <c r="C410" s="76"/>
      <c r="D410" s="15"/>
      <c r="E410" s="15"/>
      <c r="F410" s="15"/>
      <c r="G410" s="80"/>
      <c r="H410" s="79"/>
      <c r="I410" s="80"/>
      <c r="J410" s="80"/>
      <c r="K410" s="80"/>
      <c r="L410" s="76"/>
      <c r="M410" s="76"/>
      <c r="N410" s="76"/>
      <c r="O410" s="76"/>
      <c r="P410" s="5"/>
      <c r="Q410" s="6" t="str">
        <f t="shared" si="142"/>
        <v>OKE</v>
      </c>
      <c r="R410" s="6"/>
    </row>
    <row r="411" spans="1:18" ht="15" hidden="1" thickBot="1" x14ac:dyDescent="0.25">
      <c r="A411" s="74"/>
      <c r="B411" s="74"/>
      <c r="C411" s="9" t="s">
        <v>48</v>
      </c>
      <c r="D411" s="10">
        <f>+D409+D407+D405+D403+D401+D399+D394+D392</f>
        <v>268080000</v>
      </c>
      <c r="E411" s="10"/>
      <c r="F411" s="10"/>
      <c r="G411" s="10">
        <f>+G409+G407+G405+G403+G401+G399+G394+G392</f>
        <v>133763800</v>
      </c>
      <c r="H411" s="11">
        <f>+H409+H407+H405+H403+H401+H399+H394+H392</f>
        <v>8628300</v>
      </c>
      <c r="I411" s="10">
        <f>+G411+H411</f>
        <v>142392100</v>
      </c>
      <c r="J411" s="12">
        <f>+I411/D411</f>
        <v>0.53115525216353332</v>
      </c>
      <c r="K411" s="10">
        <f>+K409+K407+K405+K403+K401+K399+K394+K392</f>
        <v>114241700</v>
      </c>
      <c r="L411" s="10">
        <f>+L409+L407+L405+L403+L401+L399+L394+L392</f>
        <v>26474800</v>
      </c>
      <c r="M411" s="10">
        <f>+K411+L411</f>
        <v>140716500</v>
      </c>
      <c r="N411" s="12">
        <f>+M411/D411</f>
        <v>0.52490487914055506</v>
      </c>
      <c r="O411" s="10">
        <f>+D411-I411</f>
        <v>125687900</v>
      </c>
      <c r="P411" s="5"/>
      <c r="Q411" s="6" t="str">
        <f t="shared" si="142"/>
        <v>OKE</v>
      </c>
      <c r="R411" s="6"/>
    </row>
    <row r="412" spans="1:18" ht="15" hidden="1" thickBot="1" x14ac:dyDescent="0.25">
      <c r="A412" s="85"/>
      <c r="B412" s="85"/>
      <c r="C412" s="34" t="s">
        <v>31</v>
      </c>
      <c r="D412" s="35"/>
      <c r="E412" s="35"/>
      <c r="F412" s="35"/>
      <c r="G412" s="259"/>
      <c r="H412" s="260"/>
      <c r="I412" s="259"/>
      <c r="J412" s="259"/>
      <c r="K412" s="259"/>
      <c r="L412" s="261"/>
      <c r="M412" s="261"/>
      <c r="N412" s="261"/>
      <c r="O412" s="261"/>
      <c r="P412" s="5"/>
      <c r="Q412" s="6" t="str">
        <f t="shared" si="142"/>
        <v>OKE</v>
      </c>
      <c r="R412" s="6"/>
    </row>
    <row r="413" spans="1:18" ht="15" hidden="1" thickBot="1" x14ac:dyDescent="0.25">
      <c r="A413" s="74"/>
      <c r="B413" s="74"/>
      <c r="C413" s="76"/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42"/>
        <v>OKE</v>
      </c>
      <c r="R413" s="6"/>
    </row>
    <row r="414" spans="1:18" ht="15" hidden="1" thickBot="1" x14ac:dyDescent="0.25">
      <c r="A414" s="7" t="s">
        <v>32</v>
      </c>
      <c r="B414" s="7" t="s">
        <v>33</v>
      </c>
      <c r="C414" s="9" t="s">
        <v>64</v>
      </c>
      <c r="D414" s="10">
        <f>+D417</f>
        <v>10000000</v>
      </c>
      <c r="E414" s="10"/>
      <c r="F414" s="10"/>
      <c r="G414" s="10">
        <f>+G417</f>
        <v>8500000</v>
      </c>
      <c r="H414" s="11">
        <f>+H417</f>
        <v>0</v>
      </c>
      <c r="I414" s="10">
        <f>+G414+H414</f>
        <v>8500000</v>
      </c>
      <c r="J414" s="12">
        <f>+I414/D414</f>
        <v>0.85</v>
      </c>
      <c r="K414" s="10">
        <f>+K417</f>
        <v>6435000</v>
      </c>
      <c r="L414" s="10">
        <f>+L417</f>
        <v>2420000</v>
      </c>
      <c r="M414" s="10">
        <f>+K414+L414</f>
        <v>8855000</v>
      </c>
      <c r="N414" s="12">
        <f>+M414/D414</f>
        <v>0.88549999999999995</v>
      </c>
      <c r="O414" s="10">
        <f>+D414-I414</f>
        <v>1500000</v>
      </c>
      <c r="P414" s="5"/>
      <c r="Q414" s="6" t="str">
        <f t="shared" si="142"/>
        <v>Salah</v>
      </c>
      <c r="R414" s="6"/>
    </row>
    <row r="415" spans="1:18" ht="15" hidden="1" thickBot="1" x14ac:dyDescent="0.25">
      <c r="A415" s="74"/>
      <c r="B415" s="74"/>
      <c r="C415" s="9" t="s">
        <v>49</v>
      </c>
      <c r="D415" s="15"/>
      <c r="E415" s="15"/>
      <c r="F415" s="15"/>
      <c r="G415" s="80"/>
      <c r="H415" s="79"/>
      <c r="I415" s="80"/>
      <c r="J415" s="80"/>
      <c r="K415" s="80"/>
      <c r="L415" s="76"/>
      <c r="M415" s="76"/>
      <c r="N415" s="76"/>
      <c r="O415" s="76"/>
      <c r="P415" s="5"/>
      <c r="Q415" s="6" t="str">
        <f t="shared" si="142"/>
        <v>OKE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42"/>
        <v>OKE</v>
      </c>
      <c r="R416" s="6"/>
    </row>
    <row r="417" spans="1:18" ht="15" hidden="1" thickBot="1" x14ac:dyDescent="0.25">
      <c r="A417" s="74">
        <v>10</v>
      </c>
      <c r="B417" s="75" t="s">
        <v>61</v>
      </c>
      <c r="C417" s="8" t="s">
        <v>99</v>
      </c>
      <c r="D417" s="15">
        <v>10000000</v>
      </c>
      <c r="E417" s="15"/>
      <c r="F417" s="15"/>
      <c r="G417" s="80">
        <v>8500000</v>
      </c>
      <c r="H417" s="79">
        <v>0</v>
      </c>
      <c r="I417" s="15">
        <f>+G417+H417</f>
        <v>8500000</v>
      </c>
      <c r="J417" s="16">
        <f>+I417/D417</f>
        <v>0.85</v>
      </c>
      <c r="K417" s="80">
        <v>6435000</v>
      </c>
      <c r="L417" s="80">
        <v>2420000</v>
      </c>
      <c r="M417" s="80">
        <f>+K417+L417</f>
        <v>8855000</v>
      </c>
      <c r="N417" s="16">
        <f>+M417/D417</f>
        <v>0.88549999999999995</v>
      </c>
      <c r="O417" s="80">
        <f>+D417-I417</f>
        <v>1500000</v>
      </c>
      <c r="P417" s="5"/>
      <c r="Q417" s="6" t="str">
        <f t="shared" si="142"/>
        <v>Salah</v>
      </c>
      <c r="R417" s="6"/>
    </row>
    <row r="418" spans="1:18" ht="15" hidden="1" thickBot="1" x14ac:dyDescent="0.25">
      <c r="A418" s="74"/>
      <c r="B418" s="74"/>
      <c r="C418" s="76"/>
      <c r="D418" s="15"/>
      <c r="E418" s="15"/>
      <c r="F418" s="15"/>
      <c r="G418" s="80"/>
      <c r="H418" s="79"/>
      <c r="I418" s="80"/>
      <c r="J418" s="80"/>
      <c r="K418" s="80"/>
      <c r="L418" s="76"/>
      <c r="M418" s="76"/>
      <c r="N418" s="76"/>
      <c r="O418" s="76"/>
      <c r="P418" s="5"/>
      <c r="Q418" s="6" t="str">
        <f t="shared" si="142"/>
        <v>OKE</v>
      </c>
      <c r="R418" s="6"/>
    </row>
    <row r="419" spans="1:18" ht="15" hidden="1" thickBot="1" x14ac:dyDescent="0.25">
      <c r="A419" s="74"/>
      <c r="B419" s="74"/>
      <c r="C419" s="9" t="s">
        <v>65</v>
      </c>
      <c r="D419" s="10">
        <f>+D417</f>
        <v>10000000</v>
      </c>
      <c r="E419" s="10"/>
      <c r="F419" s="10"/>
      <c r="G419" s="10">
        <f>+G417</f>
        <v>8500000</v>
      </c>
      <c r="H419" s="11">
        <f>+H417</f>
        <v>0</v>
      </c>
      <c r="I419" s="10">
        <f>+G419+H419</f>
        <v>8500000</v>
      </c>
      <c r="J419" s="12">
        <f>+I419/D419</f>
        <v>0.85</v>
      </c>
      <c r="K419" s="10">
        <f>+K417</f>
        <v>6435000</v>
      </c>
      <c r="L419" s="10">
        <f>+L417</f>
        <v>2420000</v>
      </c>
      <c r="M419" s="10">
        <f>+K419+L419</f>
        <v>8855000</v>
      </c>
      <c r="N419" s="12">
        <f>+M419/D419</f>
        <v>0.88549999999999995</v>
      </c>
      <c r="O419" s="10">
        <f>+D419-I419</f>
        <v>1500000</v>
      </c>
      <c r="P419" s="5"/>
      <c r="Q419" s="6" t="str">
        <f t="shared" si="142"/>
        <v>Salah</v>
      </c>
      <c r="R419" s="6"/>
    </row>
    <row r="420" spans="1:18" ht="15" hidden="1" thickBot="1" x14ac:dyDescent="0.25">
      <c r="A420" s="81"/>
      <c r="B420" s="81"/>
      <c r="C420" s="23" t="s">
        <v>66</v>
      </c>
      <c r="D420" s="32"/>
      <c r="E420" s="32"/>
      <c r="F420" s="32"/>
      <c r="G420" s="252"/>
      <c r="H420" s="253"/>
      <c r="I420" s="252"/>
      <c r="J420" s="252"/>
      <c r="K420" s="252"/>
      <c r="L420" s="251"/>
      <c r="M420" s="251"/>
      <c r="N420" s="251"/>
      <c r="O420" s="251"/>
      <c r="P420" s="5"/>
      <c r="Q420" s="6" t="str">
        <f t="shared" si="142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42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2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2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2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2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2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2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2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2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2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2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2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2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2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2"/>
        <v>OKE</v>
      </c>
      <c r="R435" s="6"/>
    </row>
    <row r="436" spans="1:18" ht="15" hidden="1" thickBot="1" x14ac:dyDescent="0.25">
      <c r="B436" s="88"/>
      <c r="C436" s="26"/>
      <c r="D436" s="31"/>
      <c r="E436" s="31"/>
      <c r="F436" s="31"/>
      <c r="G436" s="179"/>
      <c r="H436" s="258"/>
      <c r="I436" s="179"/>
      <c r="J436" s="179"/>
      <c r="K436" s="179"/>
      <c r="L436" s="77"/>
      <c r="M436" s="77"/>
      <c r="N436" s="77"/>
      <c r="O436" s="77"/>
      <c r="P436" s="5"/>
      <c r="Q436" s="6" t="str">
        <f t="shared" si="142"/>
        <v>OKE</v>
      </c>
      <c r="R436" s="6"/>
    </row>
    <row r="437" spans="1:18" ht="14.1" hidden="1" customHeight="1" x14ac:dyDescent="0.2">
      <c r="A437" s="361" t="s">
        <v>2</v>
      </c>
      <c r="B437" s="361" t="s">
        <v>3</v>
      </c>
      <c r="C437" s="361" t="s">
        <v>4</v>
      </c>
      <c r="D437" s="361" t="s">
        <v>5</v>
      </c>
      <c r="E437" s="197"/>
      <c r="F437" s="197"/>
      <c r="G437" s="358" t="s">
        <v>11</v>
      </c>
      <c r="H437" s="359"/>
      <c r="I437" s="359"/>
      <c r="J437" s="360"/>
      <c r="K437" s="358" t="s">
        <v>9</v>
      </c>
      <c r="L437" s="359"/>
      <c r="M437" s="359"/>
      <c r="N437" s="360"/>
      <c r="O437" s="361" t="s">
        <v>10</v>
      </c>
      <c r="P437" s="5"/>
      <c r="Q437" s="6" t="str">
        <f t="shared" si="142"/>
        <v>OKE</v>
      </c>
      <c r="R437" s="6"/>
    </row>
    <row r="438" spans="1:18" ht="14.1" hidden="1" customHeight="1" x14ac:dyDescent="0.2">
      <c r="A438" s="362"/>
      <c r="B438" s="362"/>
      <c r="C438" s="362"/>
      <c r="D438" s="362"/>
      <c r="E438" s="44"/>
      <c r="F438" s="44"/>
      <c r="G438" s="358" t="s">
        <v>74</v>
      </c>
      <c r="H438" s="359"/>
      <c r="I438" s="359"/>
      <c r="J438" s="360"/>
      <c r="K438" s="358" t="s">
        <v>12</v>
      </c>
      <c r="L438" s="359"/>
      <c r="M438" s="359"/>
      <c r="N438" s="360"/>
      <c r="O438" s="362"/>
      <c r="P438" s="5"/>
      <c r="Q438" s="6" t="str">
        <f t="shared" ref="Q438:Q462" si="143">IF(M438&lt;=I438,"OKE","Salah")</f>
        <v>OKE</v>
      </c>
      <c r="R438" s="6"/>
    </row>
    <row r="439" spans="1:18" ht="14.1" hidden="1" customHeight="1" x14ac:dyDescent="0.2">
      <c r="A439" s="378"/>
      <c r="B439" s="378"/>
      <c r="C439" s="378"/>
      <c r="D439" s="378"/>
      <c r="E439" s="196"/>
      <c r="F439" s="196"/>
      <c r="G439" s="144" t="s">
        <v>13</v>
      </c>
      <c r="H439" s="145" t="s">
        <v>14</v>
      </c>
      <c r="I439" s="144" t="s">
        <v>15</v>
      </c>
      <c r="J439" s="144" t="s">
        <v>16</v>
      </c>
      <c r="K439" s="144" t="s">
        <v>13</v>
      </c>
      <c r="L439" s="144" t="s">
        <v>14</v>
      </c>
      <c r="M439" s="144" t="s">
        <v>15</v>
      </c>
      <c r="N439" s="144" t="s">
        <v>16</v>
      </c>
      <c r="O439" s="378"/>
      <c r="P439" s="5"/>
      <c r="Q439" s="6" t="str">
        <f t="shared" si="143"/>
        <v>OKE</v>
      </c>
      <c r="R439" s="6"/>
    </row>
    <row r="440" spans="1:18" ht="15" hidden="1" thickBot="1" x14ac:dyDescent="0.25">
      <c r="A440" s="2">
        <v>1</v>
      </c>
      <c r="B440" s="2">
        <v>2</v>
      </c>
      <c r="C440" s="2">
        <v>3</v>
      </c>
      <c r="D440" s="2">
        <v>4</v>
      </c>
      <c r="E440" s="2"/>
      <c r="F440" s="2"/>
      <c r="G440" s="2">
        <v>5</v>
      </c>
      <c r="H440" s="145">
        <v>6</v>
      </c>
      <c r="I440" s="45" t="s">
        <v>77</v>
      </c>
      <c r="J440" s="45" t="s">
        <v>78</v>
      </c>
      <c r="K440" s="45">
        <v>9</v>
      </c>
      <c r="L440" s="45">
        <v>10</v>
      </c>
      <c r="M440" s="45" t="s">
        <v>79</v>
      </c>
      <c r="N440" s="45" t="s">
        <v>80</v>
      </c>
      <c r="O440" s="45" t="s">
        <v>81</v>
      </c>
      <c r="P440" s="5"/>
      <c r="Q440" s="6" t="str">
        <f t="shared" si="143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241"/>
      <c r="O441" s="241"/>
      <c r="P441" s="5"/>
      <c r="Q441" s="6" t="str">
        <f t="shared" si="143"/>
        <v>OKE</v>
      </c>
      <c r="R441" s="6"/>
    </row>
    <row r="442" spans="1:18" ht="15" hidden="1" thickBot="1" x14ac:dyDescent="0.25">
      <c r="A442" s="74"/>
      <c r="B442" s="76"/>
      <c r="C442" s="244" t="s">
        <v>97</v>
      </c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76"/>
      <c r="O442" s="76"/>
      <c r="P442" s="5"/>
      <c r="Q442" s="6" t="str">
        <f t="shared" si="143"/>
        <v>OKE</v>
      </c>
      <c r="R442" s="6"/>
    </row>
    <row r="443" spans="1:18" ht="15" hidden="1" thickBot="1" x14ac:dyDescent="0.25">
      <c r="A443" s="74"/>
      <c r="B443" s="76"/>
      <c r="C443" s="76"/>
      <c r="D443" s="8"/>
      <c r="E443" s="8"/>
      <c r="F443" s="8"/>
      <c r="G443" s="76"/>
      <c r="H443" s="82"/>
      <c r="I443" s="76"/>
      <c r="J443" s="76"/>
      <c r="K443" s="76"/>
      <c r="L443" s="76"/>
      <c r="M443" s="76"/>
      <c r="N443" s="76"/>
      <c r="O443" s="76"/>
      <c r="P443" s="5"/>
      <c r="Q443" s="6" t="str">
        <f t="shared" si="143"/>
        <v>OKE</v>
      </c>
      <c r="R443" s="6"/>
    </row>
    <row r="444" spans="1:18" ht="15" hidden="1" thickBot="1" x14ac:dyDescent="0.25">
      <c r="A444" s="7" t="s">
        <v>36</v>
      </c>
      <c r="B444" s="7" t="s">
        <v>51</v>
      </c>
      <c r="C444" s="9" t="s">
        <v>100</v>
      </c>
      <c r="D444" s="10">
        <f>+D446+D448</f>
        <v>65000000</v>
      </c>
      <c r="E444" s="10"/>
      <c r="F444" s="10"/>
      <c r="G444" s="10">
        <f>+G446+G448</f>
        <v>63849900</v>
      </c>
      <c r="H444" s="11">
        <f>+H446+H448</f>
        <v>0</v>
      </c>
      <c r="I444" s="10">
        <f>+G444+H444</f>
        <v>63849900</v>
      </c>
      <c r="J444" s="12">
        <f>+I444/D444</f>
        <v>0.98230615384615383</v>
      </c>
      <c r="K444" s="10">
        <f>+K446+K448</f>
        <v>60979900</v>
      </c>
      <c r="L444" s="10">
        <f>+L446+L448</f>
        <v>2675000</v>
      </c>
      <c r="M444" s="10">
        <f>+K444+L444</f>
        <v>63654900</v>
      </c>
      <c r="N444" s="12">
        <f>+M444/D444</f>
        <v>0.97930615384615383</v>
      </c>
      <c r="O444" s="10">
        <f>+D444-I444</f>
        <v>1150100</v>
      </c>
      <c r="P444" s="5"/>
      <c r="Q444" s="6" t="str">
        <f t="shared" si="143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43"/>
        <v>OKE</v>
      </c>
      <c r="R445" s="6"/>
    </row>
    <row r="446" spans="1:18" ht="15" hidden="1" thickBot="1" x14ac:dyDescent="0.25">
      <c r="A446" s="7"/>
      <c r="B446" s="75" t="s">
        <v>37</v>
      </c>
      <c r="C446" s="8" t="s">
        <v>101</v>
      </c>
      <c r="D446" s="15">
        <v>5000000</v>
      </c>
      <c r="E446" s="15"/>
      <c r="F446" s="15"/>
      <c r="G446" s="80">
        <v>5000000</v>
      </c>
      <c r="H446" s="79">
        <v>0</v>
      </c>
      <c r="I446" s="15">
        <f>+G446+H446</f>
        <v>5000000</v>
      </c>
      <c r="J446" s="16">
        <f>+I446/D446</f>
        <v>1</v>
      </c>
      <c r="K446" s="80">
        <v>2250000</v>
      </c>
      <c r="L446" s="80">
        <v>2675000</v>
      </c>
      <c r="M446" s="80">
        <f>+K446+L446</f>
        <v>4925000</v>
      </c>
      <c r="N446" s="16">
        <f>+M446/D446</f>
        <v>0.98499999999999999</v>
      </c>
      <c r="O446" s="80">
        <f>+D446-I446</f>
        <v>0</v>
      </c>
      <c r="P446" s="5"/>
      <c r="Q446" s="6" t="str">
        <f t="shared" si="143"/>
        <v>OKE</v>
      </c>
      <c r="R446" s="6"/>
    </row>
    <row r="447" spans="1:18" ht="15" hidden="1" thickBot="1" x14ac:dyDescent="0.25">
      <c r="A447" s="7"/>
      <c r="B447" s="7"/>
      <c r="C447" s="9"/>
      <c r="D447" s="15"/>
      <c r="E447" s="15"/>
      <c r="F447" s="15"/>
      <c r="G447" s="80"/>
      <c r="H447" s="79"/>
      <c r="I447" s="80"/>
      <c r="J447" s="80"/>
      <c r="K447" s="80"/>
      <c r="L447" s="93"/>
      <c r="M447" s="76"/>
      <c r="N447" s="76"/>
      <c r="O447" s="76"/>
      <c r="P447" s="5"/>
      <c r="Q447" s="6" t="str">
        <f t="shared" si="143"/>
        <v>OKE</v>
      </c>
      <c r="R447" s="6"/>
    </row>
    <row r="448" spans="1:18" ht="15" hidden="1" thickBot="1" x14ac:dyDescent="0.25">
      <c r="A448" s="74">
        <v>11</v>
      </c>
      <c r="B448" s="75" t="s">
        <v>42</v>
      </c>
      <c r="C448" s="76" t="s">
        <v>102</v>
      </c>
      <c r="D448" s="15">
        <v>60000000</v>
      </c>
      <c r="E448" s="15"/>
      <c r="F448" s="15"/>
      <c r="G448" s="80">
        <v>58849900</v>
      </c>
      <c r="H448" s="79">
        <v>0</v>
      </c>
      <c r="I448" s="15">
        <f>+G448+H448</f>
        <v>58849900</v>
      </c>
      <c r="J448" s="16">
        <f>+I448/D448</f>
        <v>0.98083166666666666</v>
      </c>
      <c r="K448" s="80">
        <v>58729900</v>
      </c>
      <c r="L448" s="80">
        <v>0</v>
      </c>
      <c r="M448" s="80">
        <f>+K448+L448</f>
        <v>58729900</v>
      </c>
      <c r="N448" s="16">
        <f>+M448/D448</f>
        <v>0.97883166666666666</v>
      </c>
      <c r="O448" s="80">
        <f>+D448-I448</f>
        <v>1150100</v>
      </c>
      <c r="P448" s="5"/>
      <c r="Q448" s="6" t="str">
        <f t="shared" si="143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43"/>
        <v>OKE</v>
      </c>
      <c r="R449" s="6"/>
    </row>
    <row r="450" spans="1:40" ht="15" hidden="1" thickBot="1" x14ac:dyDescent="0.25">
      <c r="A450" s="85"/>
      <c r="B450" s="85"/>
      <c r="C450" s="34" t="s">
        <v>103</v>
      </c>
      <c r="D450" s="41">
        <f>+D448+D446</f>
        <v>65000000</v>
      </c>
      <c r="E450" s="41"/>
      <c r="F450" s="41"/>
      <c r="G450" s="41">
        <f>+G448+G446</f>
        <v>63849900</v>
      </c>
      <c r="H450" s="42">
        <f>+H448+H446</f>
        <v>0</v>
      </c>
      <c r="I450" s="41">
        <f>+G450+H450</f>
        <v>63849900</v>
      </c>
      <c r="J450" s="43">
        <f>+I450/D450</f>
        <v>0.98230615384615383</v>
      </c>
      <c r="K450" s="41">
        <f>+K448+K446</f>
        <v>60979900</v>
      </c>
      <c r="L450" s="41">
        <f>+L448+L446</f>
        <v>2675000</v>
      </c>
      <c r="M450" s="259">
        <f>+K450+L450</f>
        <v>63654900</v>
      </c>
      <c r="N450" s="43">
        <f>+M450/D450</f>
        <v>0.97930615384615383</v>
      </c>
      <c r="O450" s="41">
        <f>+D450-I450</f>
        <v>1150100</v>
      </c>
      <c r="P450" s="5"/>
      <c r="Q450" s="6" t="str">
        <f t="shared" si="143"/>
        <v>OKE</v>
      </c>
      <c r="R450" s="6"/>
    </row>
    <row r="451" spans="1:40" ht="15" hidden="1" thickBot="1" x14ac:dyDescent="0.25">
      <c r="A451" s="74"/>
      <c r="B451" s="74"/>
      <c r="C451" s="76"/>
      <c r="D451" s="15"/>
      <c r="E451" s="15"/>
      <c r="F451" s="15"/>
      <c r="G451" s="80"/>
      <c r="H451" s="79"/>
      <c r="I451" s="80"/>
      <c r="J451" s="80"/>
      <c r="K451" s="80"/>
      <c r="L451" s="76"/>
      <c r="M451" s="76"/>
      <c r="N451" s="76"/>
      <c r="O451" s="76"/>
      <c r="P451" s="5"/>
      <c r="Q451" s="6" t="str">
        <f t="shared" si="143"/>
        <v>OKE</v>
      </c>
      <c r="R451" s="6"/>
    </row>
    <row r="452" spans="1:40" ht="15" hidden="1" thickBot="1" x14ac:dyDescent="0.25">
      <c r="A452" s="7" t="s">
        <v>38</v>
      </c>
      <c r="B452" s="7" t="s">
        <v>104</v>
      </c>
      <c r="C452" s="9" t="s">
        <v>105</v>
      </c>
      <c r="D452" s="10">
        <f>+D454+D456</f>
        <v>65000000</v>
      </c>
      <c r="E452" s="10"/>
      <c r="F452" s="10"/>
      <c r="G452" s="10">
        <f>+G454+G456</f>
        <v>63625000</v>
      </c>
      <c r="H452" s="11">
        <f>+H454+H456</f>
        <v>0</v>
      </c>
      <c r="I452" s="10">
        <f>+G452+H452</f>
        <v>63625000</v>
      </c>
      <c r="J452" s="12">
        <f>+I452/D452</f>
        <v>0.97884615384615381</v>
      </c>
      <c r="K452" s="10">
        <f>+K454+K456</f>
        <v>58383200</v>
      </c>
      <c r="L452" s="10">
        <f>+L454+L456</f>
        <v>5241800</v>
      </c>
      <c r="M452" s="10">
        <f>+K452+L452</f>
        <v>63625000</v>
      </c>
      <c r="N452" s="12">
        <f>+M452/D452</f>
        <v>0.97884615384615381</v>
      </c>
      <c r="O452" s="10">
        <f>+D452-I452</f>
        <v>1375000</v>
      </c>
      <c r="P452" s="5"/>
      <c r="Q452" s="6" t="str">
        <f t="shared" si="143"/>
        <v>OKE</v>
      </c>
      <c r="R452" s="6"/>
    </row>
    <row r="453" spans="1:40" ht="15" hidden="1" thickBot="1" x14ac:dyDescent="0.25">
      <c r="A453" s="7"/>
      <c r="B453" s="7"/>
      <c r="C453" s="9"/>
      <c r="D453" s="15"/>
      <c r="E453" s="15"/>
      <c r="F453" s="15"/>
      <c r="G453" s="80"/>
      <c r="H453" s="79"/>
      <c r="I453" s="80"/>
      <c r="J453" s="80"/>
      <c r="K453" s="80"/>
      <c r="L453" s="93"/>
      <c r="M453" s="76"/>
      <c r="N453" s="76"/>
      <c r="O453" s="76"/>
      <c r="P453" s="5"/>
      <c r="Q453" s="6" t="str">
        <f t="shared" si="143"/>
        <v>OKE</v>
      </c>
      <c r="R453" s="6"/>
    </row>
    <row r="454" spans="1:40" ht="15" hidden="1" thickBot="1" x14ac:dyDescent="0.25">
      <c r="A454" s="74">
        <v>12</v>
      </c>
      <c r="B454" s="75" t="s">
        <v>71</v>
      </c>
      <c r="C454" s="76" t="s">
        <v>106</v>
      </c>
      <c r="D454" s="15">
        <v>32000000</v>
      </c>
      <c r="E454" s="15"/>
      <c r="F454" s="15"/>
      <c r="G454" s="80">
        <v>32000000</v>
      </c>
      <c r="H454" s="79">
        <v>0</v>
      </c>
      <c r="I454" s="15">
        <f>+G454+H454</f>
        <v>32000000</v>
      </c>
      <c r="J454" s="16">
        <f>+I454/D454</f>
        <v>1</v>
      </c>
      <c r="K454" s="80">
        <v>26758200</v>
      </c>
      <c r="L454" s="80">
        <v>5241800</v>
      </c>
      <c r="M454" s="80">
        <f>+K454+L454</f>
        <v>32000000</v>
      </c>
      <c r="N454" s="16">
        <f>+M454/D454</f>
        <v>1</v>
      </c>
      <c r="O454" s="80">
        <f>+D454-I454</f>
        <v>0</v>
      </c>
      <c r="P454" s="5"/>
      <c r="Q454" s="6" t="str">
        <f t="shared" si="143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270"/>
      <c r="L455" s="93"/>
      <c r="M455" s="76"/>
      <c r="N455" s="76"/>
      <c r="O455" s="76"/>
      <c r="P455" s="5"/>
      <c r="Q455" s="6" t="str">
        <f t="shared" si="143"/>
        <v>OKE</v>
      </c>
      <c r="R455" s="6"/>
    </row>
    <row r="456" spans="1:40" ht="15" hidden="1" thickBot="1" x14ac:dyDescent="0.25">
      <c r="A456" s="74">
        <v>13</v>
      </c>
      <c r="B456" s="75" t="s">
        <v>107</v>
      </c>
      <c r="C456" s="76" t="s">
        <v>108</v>
      </c>
      <c r="D456" s="15">
        <v>33000000</v>
      </c>
      <c r="E456" s="15"/>
      <c r="F456" s="15"/>
      <c r="G456" s="80">
        <v>31625000</v>
      </c>
      <c r="H456" s="79">
        <v>0</v>
      </c>
      <c r="I456" s="15">
        <f>+G456+H456</f>
        <v>31625000</v>
      </c>
      <c r="J456" s="16">
        <f>+I456/D456</f>
        <v>0.95833333333333337</v>
      </c>
      <c r="K456" s="80">
        <v>31625000</v>
      </c>
      <c r="L456" s="80">
        <v>0</v>
      </c>
      <c r="M456" s="80">
        <f>+K456+L456</f>
        <v>31625000</v>
      </c>
      <c r="N456" s="16">
        <f>+M456/D456</f>
        <v>0.95833333333333337</v>
      </c>
      <c r="O456" s="80">
        <f>+D456-I456</f>
        <v>1375000</v>
      </c>
      <c r="P456" s="5"/>
      <c r="Q456" s="6" t="str">
        <f t="shared" si="143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76"/>
      <c r="M457" s="76"/>
      <c r="N457" s="76"/>
      <c r="O457" s="76"/>
      <c r="P457" s="5"/>
      <c r="Q457" s="6" t="str">
        <f t="shared" si="143"/>
        <v>OKE</v>
      </c>
      <c r="R457" s="6"/>
    </row>
    <row r="458" spans="1:40" ht="15" hidden="1" thickBot="1" x14ac:dyDescent="0.25">
      <c r="A458" s="85"/>
      <c r="B458" s="85"/>
      <c r="C458" s="34" t="s">
        <v>109</v>
      </c>
      <c r="D458" s="41">
        <f>+D456+D454</f>
        <v>65000000</v>
      </c>
      <c r="E458" s="41"/>
      <c r="F458" s="41"/>
      <c r="G458" s="41">
        <f>+G456+G454</f>
        <v>63625000</v>
      </c>
      <c r="H458" s="42">
        <f>+H456+H454</f>
        <v>0</v>
      </c>
      <c r="I458" s="41">
        <f>+G458+H458</f>
        <v>63625000</v>
      </c>
      <c r="J458" s="43">
        <f>+I458/D458</f>
        <v>0.97884615384615381</v>
      </c>
      <c r="K458" s="41">
        <f>+K456+K454</f>
        <v>58383200</v>
      </c>
      <c r="L458" s="41">
        <f>+L456+L454</f>
        <v>5241800</v>
      </c>
      <c r="M458" s="41">
        <f>+K458+L458</f>
        <v>63625000</v>
      </c>
      <c r="N458" s="43">
        <f>+M458/D458</f>
        <v>0.97884615384615381</v>
      </c>
      <c r="O458" s="41">
        <f>+D458-I458</f>
        <v>1375000</v>
      </c>
      <c r="P458" s="5"/>
      <c r="Q458" s="6" t="str">
        <f t="shared" si="143"/>
        <v>OKE</v>
      </c>
      <c r="R458" s="6"/>
    </row>
    <row r="459" spans="1:40" ht="15" hidden="1" thickBot="1" x14ac:dyDescent="0.25">
      <c r="A459" s="74"/>
      <c r="B459" s="74"/>
      <c r="C459" s="76"/>
      <c r="D459" s="15"/>
      <c r="E459" s="15"/>
      <c r="F459" s="15"/>
      <c r="G459" s="80"/>
      <c r="H459" s="79"/>
      <c r="I459" s="80"/>
      <c r="J459" s="80"/>
      <c r="K459" s="80"/>
      <c r="L459" s="93"/>
      <c r="M459" s="76"/>
      <c r="N459" s="76"/>
      <c r="O459" s="76"/>
      <c r="P459" s="5"/>
      <c r="Q459" s="6" t="str">
        <f t="shared" si="143"/>
        <v>OKE</v>
      </c>
      <c r="R459" s="6"/>
    </row>
    <row r="460" spans="1:40" ht="15" hidden="1" thickBot="1" x14ac:dyDescent="0.25">
      <c r="A460" s="92"/>
      <c r="B460" s="92"/>
      <c r="C460" s="54"/>
      <c r="D460" s="55"/>
      <c r="E460" s="55"/>
      <c r="F460" s="55"/>
      <c r="G460" s="55"/>
      <c r="H460" s="56"/>
      <c r="I460" s="55"/>
      <c r="J460" s="57"/>
      <c r="K460" s="55"/>
      <c r="L460" s="55"/>
      <c r="M460" s="58"/>
      <c r="N460" s="59"/>
      <c r="O460" s="58"/>
      <c r="P460" s="5"/>
      <c r="Q460" s="6" t="str">
        <f t="shared" si="143"/>
        <v>OKE</v>
      </c>
      <c r="R460" s="6"/>
    </row>
    <row r="461" spans="1:40" s="72" customFormat="1" ht="10.5" customHeight="1" x14ac:dyDescent="0.2">
      <c r="A461" s="435"/>
      <c r="B461" s="436"/>
      <c r="C461" s="439" t="s">
        <v>110</v>
      </c>
      <c r="D461" s="429">
        <f t="shared" ref="D461:I461" si="144">+D30+D47+D62+D77+D98+D113+D126+D175+D192+D255</f>
        <v>70935668093</v>
      </c>
      <c r="E461" s="429">
        <f t="shared" si="144"/>
        <v>-36639150</v>
      </c>
      <c r="F461" s="441">
        <f t="shared" si="144"/>
        <v>70899028943</v>
      </c>
      <c r="G461" s="453">
        <f t="shared" si="144"/>
        <v>17109670118</v>
      </c>
      <c r="H461" s="429">
        <f t="shared" si="144"/>
        <v>7251528517</v>
      </c>
      <c r="I461" s="453">
        <f t="shared" si="144"/>
        <v>24361198635</v>
      </c>
      <c r="J461" s="431">
        <f>+I461/F461</f>
        <v>0.34360412262607198</v>
      </c>
      <c r="K461" s="453">
        <f>+K30+K47+K62+K77+K98+K113+K126+K175+K192+K255</f>
        <v>17052819546</v>
      </c>
      <c r="L461" s="429">
        <f>+L30+L47+L62+L77+L98+L113+L126+L175+L192+L255</f>
        <v>7270929132</v>
      </c>
      <c r="M461" s="453">
        <f>+K461+L461</f>
        <v>24323748678</v>
      </c>
      <c r="N461" s="433">
        <f>+M461/F461</f>
        <v>0.34307590725333242</v>
      </c>
      <c r="O461" s="429">
        <f>+F461-M461</f>
        <v>46575280265</v>
      </c>
      <c r="P461" s="5"/>
      <c r="Q461" s="6" t="str">
        <f t="shared" si="143"/>
        <v>OKE</v>
      </c>
      <c r="R461" s="6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</row>
    <row r="462" spans="1:40" s="73" customFormat="1" ht="18" customHeight="1" thickBot="1" x14ac:dyDescent="0.25">
      <c r="A462" s="437"/>
      <c r="B462" s="438"/>
      <c r="C462" s="430"/>
      <c r="D462" s="440"/>
      <c r="E462" s="440"/>
      <c r="F462" s="442"/>
      <c r="G462" s="454"/>
      <c r="H462" s="440"/>
      <c r="I462" s="462"/>
      <c r="J462" s="432"/>
      <c r="K462" s="454"/>
      <c r="L462" s="440"/>
      <c r="M462" s="462"/>
      <c r="N462" s="434"/>
      <c r="O462" s="430"/>
      <c r="P462" s="77"/>
      <c r="Q462" s="6" t="str">
        <f t="shared" si="143"/>
        <v>OKE</v>
      </c>
      <c r="R462" s="6"/>
      <c r="S462" s="306">
        <f>+S475+654504862</f>
        <v>7209787486</v>
      </c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</row>
    <row r="463" spans="1:40" ht="5.25" customHeight="1" x14ac:dyDescent="0.2">
      <c r="A463" s="90"/>
      <c r="B463" s="90"/>
      <c r="C463" s="37"/>
      <c r="D463" s="37"/>
      <c r="E463" s="37"/>
      <c r="F463" s="37"/>
      <c r="G463" s="37"/>
      <c r="H463" s="38"/>
      <c r="I463" s="40"/>
      <c r="J463" s="39"/>
      <c r="K463" s="37"/>
      <c r="L463" s="37"/>
      <c r="M463" s="60"/>
      <c r="N463" s="61"/>
      <c r="O463" s="62"/>
      <c r="P463" s="77"/>
    </row>
    <row r="464" spans="1:40" x14ac:dyDescent="0.2">
      <c r="A464" s="77"/>
      <c r="B464" s="77"/>
      <c r="C464" s="77"/>
      <c r="D464" s="31"/>
      <c r="G464" s="88"/>
      <c r="H464" s="63"/>
      <c r="I464" s="26"/>
      <c r="J464" s="26"/>
      <c r="K464" s="88"/>
      <c r="L464" s="77"/>
      <c r="M464" s="77"/>
      <c r="N464" s="77"/>
      <c r="O464" s="77"/>
      <c r="P464" s="64"/>
      <c r="Q464" s="64"/>
      <c r="R464" s="31" t="s">
        <v>148</v>
      </c>
      <c r="S464" s="189">
        <f>20629678+678822111+2533610+91478666+9050176</f>
        <v>802514241</v>
      </c>
      <c r="U464" s="309"/>
    </row>
    <row r="465" spans="1:21" hidden="1" x14ac:dyDescent="0.2">
      <c r="A465" s="77"/>
      <c r="B465" s="77"/>
      <c r="C465" s="77"/>
      <c r="G465" s="88"/>
      <c r="H465" s="63"/>
      <c r="I465" s="26"/>
      <c r="J465" s="26"/>
      <c r="K465" s="88"/>
      <c r="L465" s="77"/>
      <c r="M465" s="77"/>
      <c r="N465" s="77"/>
      <c r="O465" s="77"/>
      <c r="P465" s="77"/>
      <c r="Q465" s="77"/>
      <c r="R465" s="77"/>
      <c r="S465" s="189"/>
    </row>
    <row r="466" spans="1:21" hidden="1" x14ac:dyDescent="0.2">
      <c r="A466" s="77"/>
      <c r="B466" s="77"/>
      <c r="C466" s="77"/>
      <c r="G466" s="26"/>
      <c r="H466" s="271"/>
      <c r="I466" s="88"/>
      <c r="J466" s="88"/>
      <c r="K466" s="88"/>
      <c r="L466" s="77"/>
      <c r="M466" s="77"/>
      <c r="N466" s="77"/>
      <c r="O466" s="77"/>
      <c r="P466" s="77"/>
      <c r="Q466" s="77"/>
      <c r="R466" s="77"/>
      <c r="S466" s="189"/>
    </row>
    <row r="467" spans="1:21" x14ac:dyDescent="0.2">
      <c r="A467" s="77"/>
      <c r="B467" s="77"/>
      <c r="C467" s="77"/>
      <c r="D467" s="31"/>
      <c r="G467" s="26"/>
      <c r="H467" s="271"/>
      <c r="I467" s="88"/>
      <c r="J467" s="88"/>
      <c r="K467" s="88"/>
      <c r="L467" s="425" t="s">
        <v>350</v>
      </c>
      <c r="M467" s="426"/>
      <c r="N467" s="426"/>
      <c r="O467" s="426"/>
      <c r="P467" s="77" t="s">
        <v>302</v>
      </c>
      <c r="Q467" s="179">
        <f>4598328+59553184+776455</f>
        <v>64927967</v>
      </c>
      <c r="R467" s="77" t="s">
        <v>269</v>
      </c>
      <c r="S467" s="189">
        <v>72037500</v>
      </c>
      <c r="U467" s="69"/>
    </row>
    <row r="468" spans="1:21" x14ac:dyDescent="0.2">
      <c r="A468" s="77"/>
      <c r="B468" s="77"/>
      <c r="C468" s="77"/>
      <c r="D468" s="31"/>
      <c r="G468" s="88"/>
      <c r="H468" s="271"/>
      <c r="I468" s="88"/>
      <c r="J468" s="88"/>
      <c r="K468" s="88"/>
      <c r="L468" s="425" t="s">
        <v>340</v>
      </c>
      <c r="M468" s="426"/>
      <c r="N468" s="426"/>
      <c r="O468" s="426"/>
      <c r="P468" s="77" t="s">
        <v>268</v>
      </c>
      <c r="Q468" s="179">
        <f>71626080+9558500+2805877</f>
        <v>83990457</v>
      </c>
      <c r="R468" s="77" t="s">
        <v>149</v>
      </c>
      <c r="S468" s="190">
        <f>7740000+851020494</f>
        <v>858760494</v>
      </c>
    </row>
    <row r="469" spans="1:21" hidden="1" x14ac:dyDescent="0.2">
      <c r="A469" s="77"/>
      <c r="B469" s="77"/>
      <c r="C469" s="77"/>
      <c r="G469" s="88"/>
      <c r="H469" s="271"/>
      <c r="I469" s="88"/>
      <c r="J469" s="88"/>
      <c r="K469" s="88"/>
      <c r="L469" s="26"/>
      <c r="M469" s="88"/>
      <c r="N469" s="88"/>
      <c r="O469" s="77"/>
      <c r="P469" s="77"/>
      <c r="Q469" s="179"/>
      <c r="R469" s="77"/>
      <c r="S469" s="77"/>
    </row>
    <row r="470" spans="1:21" hidden="1" x14ac:dyDescent="0.2">
      <c r="A470" s="77"/>
      <c r="B470" s="77"/>
      <c r="C470" s="77"/>
      <c r="G470" s="88"/>
      <c r="H470" s="271"/>
      <c r="I470" s="88"/>
      <c r="J470" s="88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21" hidden="1" x14ac:dyDescent="0.2">
      <c r="A471" s="77"/>
      <c r="B471" s="77"/>
      <c r="C471" s="77"/>
      <c r="G471" s="88"/>
      <c r="H471" s="271"/>
      <c r="I471" s="88"/>
      <c r="J471" s="88"/>
      <c r="K471" s="88"/>
      <c r="L471" s="88"/>
      <c r="M471" s="88"/>
      <c r="N471" s="88"/>
      <c r="O471" s="77"/>
      <c r="P471" s="77"/>
      <c r="Q471" s="179"/>
      <c r="R471" s="77"/>
      <c r="S471" s="77"/>
    </row>
    <row r="472" spans="1:21" hidden="1" x14ac:dyDescent="0.2">
      <c r="A472" s="77"/>
      <c r="B472" s="77"/>
      <c r="C472" s="77"/>
      <c r="G472" s="88"/>
      <c r="H472" s="65"/>
      <c r="I472" s="200"/>
      <c r="J472" s="200"/>
      <c r="K472" s="88"/>
      <c r="L472" s="88"/>
      <c r="M472" s="88"/>
      <c r="N472" s="88"/>
      <c r="O472" s="77"/>
      <c r="P472" s="77"/>
      <c r="Q472" s="179"/>
      <c r="R472" s="77"/>
      <c r="S472" s="77"/>
    </row>
    <row r="473" spans="1:21" ht="12.75" customHeight="1" x14ac:dyDescent="0.2">
      <c r="A473" s="77"/>
      <c r="B473" s="77"/>
      <c r="C473" s="77"/>
      <c r="D473" s="31"/>
      <c r="G473" s="88"/>
      <c r="H473" s="65"/>
      <c r="I473" s="200"/>
      <c r="J473" s="200"/>
      <c r="K473" s="88"/>
      <c r="L473" s="425" t="s">
        <v>146</v>
      </c>
      <c r="M473" s="426"/>
      <c r="N473" s="426"/>
      <c r="O473" s="426"/>
      <c r="P473" s="77" t="s">
        <v>270</v>
      </c>
      <c r="Q473" s="179">
        <v>0</v>
      </c>
      <c r="R473" s="77" t="s">
        <v>271</v>
      </c>
      <c r="S473" s="179">
        <f>+Q477</f>
        <v>4821970389</v>
      </c>
    </row>
    <row r="474" spans="1:21" ht="12.7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425"/>
      <c r="M474" s="426"/>
      <c r="N474" s="426"/>
      <c r="O474" s="426"/>
      <c r="P474" s="77" t="s">
        <v>147</v>
      </c>
      <c r="Q474" s="179"/>
      <c r="R474" s="77"/>
      <c r="S474" s="278"/>
    </row>
    <row r="475" spans="1:21" ht="14.2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88"/>
      <c r="M475" s="88"/>
      <c r="N475" s="88"/>
      <c r="O475" s="77"/>
      <c r="P475" s="77" t="s">
        <v>151</v>
      </c>
      <c r="Q475" s="179">
        <v>48960000</v>
      </c>
      <c r="R475" s="277" t="s">
        <v>152</v>
      </c>
      <c r="S475" s="279">
        <f>SUM(S464:S473)</f>
        <v>6555282624</v>
      </c>
    </row>
    <row r="476" spans="1:21" ht="14.25" customHeight="1" x14ac:dyDescent="0.2">
      <c r="A476" s="77"/>
      <c r="B476" s="77"/>
      <c r="C476" s="77"/>
      <c r="G476" s="88"/>
      <c r="H476" s="65"/>
      <c r="I476" s="200"/>
      <c r="J476" s="200"/>
      <c r="K476" s="88"/>
      <c r="L476" s="88"/>
      <c r="M476" s="88"/>
      <c r="N476" s="88"/>
      <c r="O476" s="77"/>
      <c r="P476" s="77" t="s">
        <v>274</v>
      </c>
      <c r="Q476" s="179">
        <f>10599550+11930100+35700000+120000000+10000000+30000000+19500000+62400000+61500000+73000000+28365500+14940000+10707000+3825000+3500000+163130400+24600000+20500000+41000000+17050000+6800000+98187975+106425000+26064580+197500000+9400000+16932000+89500000+10500000+8600000+18800000+15000000+96000000+174201000+2160000000+15750000+3945000+2540000+37648860+13200000+49000000+211850000+494000000</f>
        <v>4624091965</v>
      </c>
      <c r="R476" s="77"/>
      <c r="S476" s="179"/>
    </row>
    <row r="477" spans="1:21" x14ac:dyDescent="0.2">
      <c r="A477" s="77"/>
      <c r="B477" s="77"/>
      <c r="C477" s="77"/>
      <c r="G477" s="66"/>
      <c r="H477" s="65"/>
      <c r="I477" s="200"/>
      <c r="J477" s="200"/>
      <c r="K477" s="88"/>
      <c r="L477" s="427" t="s">
        <v>343</v>
      </c>
      <c r="M477" s="427"/>
      <c r="N477" s="427"/>
      <c r="O477" s="427"/>
      <c r="P477" s="277" t="s">
        <v>273</v>
      </c>
      <c r="Q477" s="280">
        <f>SUM(Q467:Q476)</f>
        <v>4821970389</v>
      </c>
      <c r="R477" s="192" t="s">
        <v>150</v>
      </c>
      <c r="S477" s="191">
        <f>+L461-S475</f>
        <v>715646508</v>
      </c>
    </row>
    <row r="478" spans="1:21" ht="15" customHeight="1" x14ac:dyDescent="0.2">
      <c r="A478" s="77"/>
      <c r="B478" s="77"/>
      <c r="C478" s="77"/>
      <c r="G478" s="67"/>
      <c r="H478" s="271"/>
      <c r="I478" s="88"/>
      <c r="J478" s="88"/>
      <c r="K478" s="88"/>
      <c r="L478" s="428" t="s">
        <v>342</v>
      </c>
      <c r="M478" s="428"/>
      <c r="N478" s="428"/>
      <c r="O478" s="428"/>
      <c r="P478" s="77"/>
      <c r="Q478" s="77"/>
      <c r="R478" s="192" t="s">
        <v>272</v>
      </c>
      <c r="S478" s="191">
        <f>+S475+S477+1343435000</f>
        <v>8614364132</v>
      </c>
    </row>
    <row r="481" spans="19:19" x14ac:dyDescent="0.2">
      <c r="S481" s="319"/>
    </row>
    <row r="482" spans="19:19" x14ac:dyDescent="0.2">
      <c r="S482" s="309"/>
    </row>
    <row r="486" spans="19:19" hidden="1" x14ac:dyDescent="0.2"/>
    <row r="487" spans="19:19" hidden="1" x14ac:dyDescent="0.2"/>
    <row r="488" spans="19:19" hidden="1" x14ac:dyDescent="0.2"/>
    <row r="489" spans="19:19" hidden="1" x14ac:dyDescent="0.2"/>
    <row r="490" spans="19:19" hidden="1" x14ac:dyDescent="0.2"/>
    <row r="491" spans="19:19" hidden="1" x14ac:dyDescent="0.2"/>
    <row r="492" spans="19:19" hidden="1" x14ac:dyDescent="0.2"/>
    <row r="493" spans="19:19" hidden="1" x14ac:dyDescent="0.2"/>
    <row r="494" spans="19:19" hidden="1" x14ac:dyDescent="0.2"/>
    <row r="495" spans="19:19" hidden="1" x14ac:dyDescent="0.2"/>
    <row r="496" spans="19:19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</sheetData>
  <mergeCells count="242">
    <mergeCell ref="L468:O468"/>
    <mergeCell ref="L473:O473"/>
    <mergeCell ref="L474:O474"/>
    <mergeCell ref="L477:O477"/>
    <mergeCell ref="L478:O478"/>
    <mergeCell ref="J461:J462"/>
    <mergeCell ref="K461:K462"/>
    <mergeCell ref="L461:L462"/>
    <mergeCell ref="M461:M462"/>
    <mergeCell ref="N461:N462"/>
    <mergeCell ref="O461:O462"/>
    <mergeCell ref="A461:B462"/>
    <mergeCell ref="C461:C462"/>
    <mergeCell ref="D461:D462"/>
    <mergeCell ref="E461:E462"/>
    <mergeCell ref="F461:F462"/>
    <mergeCell ref="G461:G462"/>
    <mergeCell ref="H461:H462"/>
    <mergeCell ref="I461:I462"/>
    <mergeCell ref="L467:O467"/>
    <mergeCell ref="K384:N384"/>
    <mergeCell ref="A437:A439"/>
    <mergeCell ref="B437:B439"/>
    <mergeCell ref="C437:C439"/>
    <mergeCell ref="D437:D439"/>
    <mergeCell ref="G437:J437"/>
    <mergeCell ref="K437:N437"/>
    <mergeCell ref="O437:O439"/>
    <mergeCell ref="G438:J438"/>
    <mergeCell ref="K438:N438"/>
    <mergeCell ref="O356:O357"/>
    <mergeCell ref="A380:O380"/>
    <mergeCell ref="A381:O381"/>
    <mergeCell ref="A382:O382"/>
    <mergeCell ref="A383:A385"/>
    <mergeCell ref="B383:B385"/>
    <mergeCell ref="C383:C385"/>
    <mergeCell ref="D383:D385"/>
    <mergeCell ref="G383:J383"/>
    <mergeCell ref="K383:N383"/>
    <mergeCell ref="I356:I357"/>
    <mergeCell ref="J356:J357"/>
    <mergeCell ref="K356:K357"/>
    <mergeCell ref="L356:L357"/>
    <mergeCell ref="M356:M357"/>
    <mergeCell ref="N356:N357"/>
    <mergeCell ref="A356:A357"/>
    <mergeCell ref="B356:B357"/>
    <mergeCell ref="C356:C357"/>
    <mergeCell ref="D356:D357"/>
    <mergeCell ref="G356:G357"/>
    <mergeCell ref="H356:H357"/>
    <mergeCell ref="O383:O385"/>
    <mergeCell ref="G384:J384"/>
    <mergeCell ref="A325:O325"/>
    <mergeCell ref="A326:A328"/>
    <mergeCell ref="B326:B328"/>
    <mergeCell ref="C326:C328"/>
    <mergeCell ref="D326:D328"/>
    <mergeCell ref="G326:J326"/>
    <mergeCell ref="K326:N326"/>
    <mergeCell ref="O326:O328"/>
    <mergeCell ref="G327:J327"/>
    <mergeCell ref="K327:N327"/>
    <mergeCell ref="A271:O271"/>
    <mergeCell ref="A272:A274"/>
    <mergeCell ref="B272:B274"/>
    <mergeCell ref="C272:C274"/>
    <mergeCell ref="D272:D274"/>
    <mergeCell ref="G272:J272"/>
    <mergeCell ref="K272:N272"/>
    <mergeCell ref="O272:O274"/>
    <mergeCell ref="G273:J273"/>
    <mergeCell ref="K273:N273"/>
    <mergeCell ref="M255:M256"/>
    <mergeCell ref="N255:N256"/>
    <mergeCell ref="O255:O256"/>
    <mergeCell ref="A269:O269"/>
    <mergeCell ref="A270:O270"/>
    <mergeCell ref="F255:F256"/>
    <mergeCell ref="G255:G256"/>
    <mergeCell ref="H255:H256"/>
    <mergeCell ref="I255:I256"/>
    <mergeCell ref="J255:J256"/>
    <mergeCell ref="K255:K256"/>
    <mergeCell ref="C248:C249"/>
    <mergeCell ref="A255:A256"/>
    <mergeCell ref="B255:B256"/>
    <mergeCell ref="C255:C256"/>
    <mergeCell ref="D255:D256"/>
    <mergeCell ref="E255:E256"/>
    <mergeCell ref="J192:J193"/>
    <mergeCell ref="K192:K193"/>
    <mergeCell ref="L192:L193"/>
    <mergeCell ref="L255:L256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I126:I127"/>
    <mergeCell ref="J126:J127"/>
    <mergeCell ref="K126:K127"/>
    <mergeCell ref="L126:L127"/>
    <mergeCell ref="M126:M127"/>
    <mergeCell ref="M192:M193"/>
    <mergeCell ref="N192:N193"/>
    <mergeCell ref="O192:O193"/>
    <mergeCell ref="O175:O176"/>
    <mergeCell ref="I175:I176"/>
    <mergeCell ref="J175:J176"/>
    <mergeCell ref="K175:K176"/>
    <mergeCell ref="L175:L176"/>
    <mergeCell ref="M175:M176"/>
    <mergeCell ref="N175:N176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H126:H127"/>
    <mergeCell ref="M113:M114"/>
    <mergeCell ref="N113:N114"/>
    <mergeCell ref="O113:O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I113:I114"/>
    <mergeCell ref="J113:J114"/>
    <mergeCell ref="K113:K114"/>
    <mergeCell ref="L113:L114"/>
    <mergeCell ref="A113:A114"/>
    <mergeCell ref="B113:B114"/>
    <mergeCell ref="C113:C114"/>
    <mergeCell ref="D113:D114"/>
    <mergeCell ref="E113:E114"/>
    <mergeCell ref="F113:F114"/>
    <mergeCell ref="N126:N127"/>
    <mergeCell ref="O126:O127"/>
    <mergeCell ref="O98:O99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N47:N48"/>
    <mergeCell ref="D47:D48"/>
    <mergeCell ref="E47:E48"/>
    <mergeCell ref="F47:F48"/>
    <mergeCell ref="J98:J99"/>
    <mergeCell ref="K98:K99"/>
    <mergeCell ref="L98:L99"/>
    <mergeCell ref="M98:M99"/>
    <mergeCell ref="N98:N99"/>
    <mergeCell ref="K62:K63"/>
    <mergeCell ref="L62:L63"/>
    <mergeCell ref="M62:M63"/>
    <mergeCell ref="M47:M48"/>
    <mergeCell ref="A47:A48"/>
    <mergeCell ref="B47:B48"/>
    <mergeCell ref="C47:C48"/>
    <mergeCell ref="C77:C78"/>
    <mergeCell ref="D77:D78"/>
    <mergeCell ref="E77:E78"/>
    <mergeCell ref="F77:F78"/>
    <mergeCell ref="G77:G78"/>
    <mergeCell ref="H77:H78"/>
    <mergeCell ref="H62:H63"/>
    <mergeCell ref="A30:A31"/>
    <mergeCell ref="B30:B31"/>
    <mergeCell ref="C30:C31"/>
    <mergeCell ref="D30:D31"/>
    <mergeCell ref="E30:E31"/>
    <mergeCell ref="L30:L31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F30:F31"/>
    <mergeCell ref="G30:G31"/>
    <mergeCell ref="H30:H31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1"/>
  <sheetViews>
    <sheetView topLeftCell="A13" workbookViewId="0">
      <selection activeCell="B18" sqref="B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352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6744077680</v>
      </c>
      <c r="G8" s="107">
        <f>F8/E8</f>
        <v>0.34142652606799218</v>
      </c>
      <c r="H8" s="105">
        <f>SUM(H9:H11)</f>
        <v>6740415430</v>
      </c>
      <c r="I8" s="108">
        <f>H8/E8</f>
        <v>0.34124112053821892</v>
      </c>
      <c r="J8" s="109">
        <f>C8-H8</f>
        <v>13012231670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+mei!I30</f>
        <v>471142680</v>
      </c>
      <c r="G9" s="115">
        <f>F9/E9</f>
        <v>0.42013707302009279</v>
      </c>
      <c r="H9" s="113">
        <f>+mei!M30</f>
        <v>470162680</v>
      </c>
      <c r="I9" s="115">
        <f>H9/E9</f>
        <v>0.41926316719699969</v>
      </c>
      <c r="J9" s="116">
        <f>E9-H9</f>
        <v>651239620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+mei!I62</f>
        <v>6172164500</v>
      </c>
      <c r="G10" s="115">
        <f t="shared" ref="G10:G20" si="0">F10/E10</f>
        <v>0.34342757783935818</v>
      </c>
      <c r="H10" s="113">
        <f>+mei!M62</f>
        <v>6171510000</v>
      </c>
      <c r="I10" s="115">
        <f t="shared" ref="I10:I20" si="1">H10/E10</f>
        <v>0.34339116057444308</v>
      </c>
      <c r="J10" s="116">
        <f t="shared" ref="J10:J20" si="2">E10-H10</f>
        <v>11800734800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+mei!I47</f>
        <v>100770500</v>
      </c>
      <c r="G11" s="131">
        <f t="shared" si="0"/>
        <v>0.15291426403641881</v>
      </c>
      <c r="H11" s="153">
        <f>+mei!M47</f>
        <v>98742750</v>
      </c>
      <c r="I11" s="131">
        <f t="shared" si="1"/>
        <v>0.14983725341426404</v>
      </c>
      <c r="J11" s="154">
        <f t="shared" si="2"/>
        <v>560257250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3269128203</v>
      </c>
      <c r="G12" s="129">
        <f>F12/E12</f>
        <v>0.30648179526638636</v>
      </c>
      <c r="H12" s="157">
        <f>SUM(H13:H15)</f>
        <v>3237801428</v>
      </c>
      <c r="I12" s="129">
        <f>H12/E12</f>
        <v>0.30354490027612702</v>
      </c>
      <c r="J12" s="159">
        <f t="shared" ref="J12:J16" si="4">C12-H12</f>
        <v>7428829522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+mei!I98</f>
        <v>793793150</v>
      </c>
      <c r="G13" s="115">
        <f t="shared" si="0"/>
        <v>0.3594775421169864</v>
      </c>
      <c r="H13" s="113">
        <f>+mei!M98</f>
        <v>773658849</v>
      </c>
      <c r="I13" s="115">
        <f t="shared" si="1"/>
        <v>0.35035951302373514</v>
      </c>
      <c r="J13" s="116">
        <f t="shared" si="2"/>
        <v>1434526801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+mei!I77</f>
        <v>2293334750</v>
      </c>
      <c r="G14" s="115">
        <f t="shared" si="0"/>
        <v>0.37994689306627721</v>
      </c>
      <c r="H14" s="113">
        <f>+mei!M77</f>
        <v>2288767656</v>
      </c>
      <c r="I14" s="115">
        <f t="shared" si="1"/>
        <v>0.37919024243965516</v>
      </c>
      <c r="J14" s="116">
        <f t="shared" si="2"/>
        <v>3747167344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+mei!I113</f>
        <v>182000303</v>
      </c>
      <c r="G15" s="121">
        <f t="shared" si="0"/>
        <v>7.5128804612306505E-2</v>
      </c>
      <c r="H15" s="119">
        <f>+mei!M113</f>
        <v>175374923</v>
      </c>
      <c r="I15" s="131">
        <f t="shared" si="1"/>
        <v>7.2393881256149872E-2</v>
      </c>
      <c r="J15" s="122">
        <f t="shared" si="2"/>
        <v>2247135377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3"/>
        <v>40479750893</v>
      </c>
      <c r="F16" s="127">
        <f>SUM(F17:F20)</f>
        <v>14347992752</v>
      </c>
      <c r="G16" s="128">
        <f>F16/E16</f>
        <v>0.35444864248117547</v>
      </c>
      <c r="H16" s="125">
        <f>SUM(H17:H20)</f>
        <v>14345531820</v>
      </c>
      <c r="I16" s="129">
        <f>H16/E16</f>
        <v>0.35438784833235509</v>
      </c>
      <c r="J16" s="130">
        <f t="shared" si="4"/>
        <v>26134219073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+mei!I126</f>
        <v>346246650</v>
      </c>
      <c r="G17" s="115">
        <f t="shared" si="0"/>
        <v>0.30982019159555496</v>
      </c>
      <c r="H17" s="133">
        <f>+mei!M126</f>
        <v>346189150</v>
      </c>
      <c r="I17" s="115">
        <f t="shared" si="1"/>
        <v>0.30976874081323913</v>
      </c>
      <c r="J17" s="116">
        <f t="shared" si="2"/>
        <v>771383750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+mei!I192</f>
        <v>305415820</v>
      </c>
      <c r="G18" s="115">
        <f>F18/E18</f>
        <v>0.25684417262196396</v>
      </c>
      <c r="H18" s="133">
        <f>+mei!M192</f>
        <v>305405820</v>
      </c>
      <c r="I18" s="115">
        <f t="shared" si="1"/>
        <v>0.25683576296680521</v>
      </c>
      <c r="J18" s="116">
        <f t="shared" si="2"/>
        <v>883703580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+mei!I255</f>
        <v>4603829496</v>
      </c>
      <c r="G19" s="115">
        <f t="shared" ref="G19" si="6">F19/E19</f>
        <v>0.37796952864945188</v>
      </c>
      <c r="H19" s="133">
        <f>+mei!M255</f>
        <v>4601447764</v>
      </c>
      <c r="I19" s="115">
        <f t="shared" si="1"/>
        <v>0.3777739909732214</v>
      </c>
      <c r="J19" s="116">
        <f t="shared" si="2"/>
        <v>7578977236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3"/>
        <v>25992643593</v>
      </c>
      <c r="F20" s="133">
        <f>+mei!I175</f>
        <v>9092500786</v>
      </c>
      <c r="G20" s="115">
        <f t="shared" si="0"/>
        <v>0.34981054364353587</v>
      </c>
      <c r="H20" s="133">
        <f>+mei!M175</f>
        <v>9092489086</v>
      </c>
      <c r="I20" s="115">
        <f t="shared" si="1"/>
        <v>0.34981009351617742</v>
      </c>
      <c r="J20" s="116">
        <f t="shared" si="2"/>
        <v>16900154507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70899028943</v>
      </c>
      <c r="D21" s="163">
        <f>D16+D12+D8</f>
        <v>0</v>
      </c>
      <c r="E21" s="164">
        <f>D21+C21</f>
        <v>70899028943</v>
      </c>
      <c r="F21" s="164">
        <f>F16+F12+F8</f>
        <v>24361198635</v>
      </c>
      <c r="G21" s="165">
        <f>F21/E21</f>
        <v>0.34360412262607198</v>
      </c>
      <c r="H21" s="166">
        <f>H16+H12+H8</f>
        <v>24323748678</v>
      </c>
      <c r="I21" s="165">
        <f>H21/E21</f>
        <v>0.34307590725333242</v>
      </c>
      <c r="J21" s="167">
        <f>E21-H21</f>
        <v>46575280265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H24" s="443" t="s">
        <v>353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27" t="s">
        <v>343</v>
      </c>
      <c r="I30" s="427"/>
      <c r="J30" s="427"/>
      <c r="K30" s="66"/>
    </row>
    <row r="31" spans="1:11" x14ac:dyDescent="0.25">
      <c r="H31" s="428" t="s">
        <v>342</v>
      </c>
      <c r="I31" s="428"/>
      <c r="J31" s="428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E14"/>
  <sheetViews>
    <sheetView zoomScale="84" zoomScaleNormal="84" workbookViewId="0">
      <selection activeCell="B18" sqref="B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mei'!F9</f>
        <v>471142680</v>
      </c>
      <c r="E4" s="195">
        <f>+'Rekap mei'!H9</f>
        <v>470162680</v>
      </c>
    </row>
    <row r="5" spans="2:5" x14ac:dyDescent="0.25">
      <c r="B5" t="s">
        <v>287</v>
      </c>
      <c r="C5" s="195">
        <f>+'Rekap jan'!C10</f>
        <v>17972244800</v>
      </c>
      <c r="D5" s="195">
        <f>+'Rekap mei'!F10</f>
        <v>6172164500</v>
      </c>
      <c r="E5" s="195">
        <f>+'Rekap mei'!H10</f>
        <v>6171510000</v>
      </c>
    </row>
    <row r="6" spans="2:5" x14ac:dyDescent="0.25">
      <c r="B6" t="s">
        <v>288</v>
      </c>
      <c r="C6" s="195">
        <f>+'Rekap jan'!C11</f>
        <v>659000000</v>
      </c>
      <c r="D6" s="195">
        <f>+'Rekap mei'!F11</f>
        <v>100770500</v>
      </c>
      <c r="E6" s="195">
        <f>+'Rekap mei'!H11</f>
        <v>98742750</v>
      </c>
    </row>
    <row r="7" spans="2:5" x14ac:dyDescent="0.25">
      <c r="B7" s="349" t="s">
        <v>360</v>
      </c>
      <c r="C7" s="195">
        <f>+'Rekap peb'!C13</f>
        <v>2208185650</v>
      </c>
      <c r="D7" s="195">
        <f>+'Rekap mei'!F13</f>
        <v>793793150</v>
      </c>
      <c r="E7" s="195">
        <f>+'Rekap mei'!H13</f>
        <v>773658849</v>
      </c>
    </row>
    <row r="8" spans="2:5" x14ac:dyDescent="0.25">
      <c r="B8" t="s">
        <v>284</v>
      </c>
      <c r="C8" s="195">
        <f>+'Rekap jan'!C14</f>
        <v>6035935000</v>
      </c>
      <c r="D8" s="195">
        <f>+'Rekap mei'!F14</f>
        <v>2293334750</v>
      </c>
      <c r="E8" s="195">
        <f>+'Rekap mei'!H14</f>
        <v>2288767656</v>
      </c>
    </row>
    <row r="9" spans="2:5" x14ac:dyDescent="0.25">
      <c r="B9" t="s">
        <v>290</v>
      </c>
      <c r="C9" s="195">
        <f>+'Rekap jan'!C15</f>
        <v>2422510300</v>
      </c>
      <c r="D9" s="195">
        <f>+'Rekap mei'!F15</f>
        <v>182000303</v>
      </c>
      <c r="E9" s="195">
        <f>+'Rekap mei'!H15</f>
        <v>175374923</v>
      </c>
    </row>
    <row r="10" spans="2:5" x14ac:dyDescent="0.25">
      <c r="B10" t="s">
        <v>361</v>
      </c>
      <c r="C10" s="195">
        <f>+'Rekap jan'!C17</f>
        <v>1117572900</v>
      </c>
      <c r="D10" s="195">
        <f>+'Rekap mei'!F17</f>
        <v>346246650</v>
      </c>
      <c r="E10" s="195">
        <f>+'Rekap mei'!H15</f>
        <v>175374923</v>
      </c>
    </row>
    <row r="11" spans="2:5" x14ac:dyDescent="0.25">
      <c r="B11" t="s">
        <v>291</v>
      </c>
      <c r="C11" s="195">
        <f>+'Rekap jan'!C18</f>
        <v>1189109400</v>
      </c>
      <c r="D11" s="195">
        <f>+'Rekap mei'!F18</f>
        <v>305415820</v>
      </c>
      <c r="E11" s="195">
        <f>+'Rekap mei'!H18</f>
        <v>305405820</v>
      </c>
    </row>
    <row r="12" spans="2:5" x14ac:dyDescent="0.25">
      <c r="B12" t="s">
        <v>292</v>
      </c>
      <c r="C12" s="195">
        <f>+'Rekap jan'!C19</f>
        <v>12180425000</v>
      </c>
      <c r="D12" s="195">
        <f>+'Rekap mei'!F19</f>
        <v>4603829496</v>
      </c>
      <c r="E12" s="195">
        <f>+'Rekap mei'!H19</f>
        <v>4601447764</v>
      </c>
    </row>
    <row r="13" spans="2:5" x14ac:dyDescent="0.25">
      <c r="B13" t="s">
        <v>293</v>
      </c>
      <c r="C13" s="195">
        <f>+'Rekap jan'!C20</f>
        <v>25992643593</v>
      </c>
      <c r="D13" s="195">
        <f>+'Rekap mei'!F20</f>
        <v>9092500786</v>
      </c>
      <c r="E13" s="195">
        <f>+'Rekap mei'!H20</f>
        <v>9092489086</v>
      </c>
    </row>
    <row r="14" spans="2:5" x14ac:dyDescent="0.25">
      <c r="C14" s="308">
        <f>SUM(C4:C13)</f>
        <v>70899028943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590"/>
  <sheetViews>
    <sheetView view="pageBreakPreview" topLeftCell="A97" zoomScale="110" zoomScaleSheetLayoutView="110" workbookViewId="0">
      <selection activeCell="B18" sqref="B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6.28515625" style="68" customWidth="1"/>
    <col min="4" max="4" width="15.85546875" style="5" hidden="1" customWidth="1"/>
    <col min="5" max="5" width="18.1406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9.140625" style="68" customWidth="1"/>
    <col min="20" max="20" width="9.140625" style="68"/>
    <col min="21" max="21" width="18.85546875" style="68" bestFit="1" customWidth="1"/>
    <col min="22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364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471142680</v>
      </c>
      <c r="H12" s="10">
        <f t="shared" si="0"/>
        <v>100656600</v>
      </c>
      <c r="I12" s="10">
        <f>+G12+H12</f>
        <v>571799280</v>
      </c>
      <c r="J12" s="168">
        <f>+I12/F12</f>
        <v>0.50989665350249413</v>
      </c>
      <c r="K12" s="10">
        <f t="shared" ref="K12:L12" si="1">+K14+K24</f>
        <v>470162680</v>
      </c>
      <c r="L12" s="10">
        <f t="shared" si="1"/>
        <v>97406600</v>
      </c>
      <c r="M12" s="180">
        <f>+K12+L12</f>
        <v>567569280</v>
      </c>
      <c r="N12" s="169">
        <f>+M12/F12</f>
        <v>0.50612459061302084</v>
      </c>
      <c r="O12" s="10">
        <f>+F12-M12</f>
        <v>553833020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297227680</v>
      </c>
      <c r="H14" s="178">
        <f>+H16+H20+H18</f>
        <v>94153600</v>
      </c>
      <c r="I14" s="10">
        <f>+G14+H14</f>
        <v>391381280</v>
      </c>
      <c r="J14" s="168">
        <f>+I14/F14</f>
        <v>0.42376208507847607</v>
      </c>
      <c r="K14" s="178">
        <f>+K16+K20+K18</f>
        <v>297227680</v>
      </c>
      <c r="L14" s="178">
        <f>+L16+L20+L18</f>
        <v>93858600</v>
      </c>
      <c r="M14" s="180">
        <f>+K14+L14</f>
        <v>391086280</v>
      </c>
      <c r="N14" s="169">
        <f>+M14/F14</f>
        <v>0.42344267834778587</v>
      </c>
      <c r="O14" s="10">
        <f>+F14-M14</f>
        <v>532501020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+mei!I16</f>
        <v>162867280</v>
      </c>
      <c r="H16" s="80">
        <f>14433600+19535000</f>
        <v>33968600</v>
      </c>
      <c r="I16" s="15">
        <f>+G16+H16</f>
        <v>196835880</v>
      </c>
      <c r="J16" s="143">
        <f>+I16/F16</f>
        <v>0.47966669241643367</v>
      </c>
      <c r="K16" s="80">
        <f>+mei!M16</f>
        <v>162867280</v>
      </c>
      <c r="L16" s="80">
        <f>14433600+19535000</f>
        <v>33968600</v>
      </c>
      <c r="M16" s="80">
        <f>+K16+L16</f>
        <v>196835880</v>
      </c>
      <c r="N16" s="171">
        <f>+M16/F16</f>
        <v>0.47966669241643367</v>
      </c>
      <c r="O16" s="15">
        <f>+F16-M16</f>
        <v>213523820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+mei!I18</f>
        <v>129966000</v>
      </c>
      <c r="H18" s="79">
        <f>28300000+16510000+15375000</f>
        <v>60185000</v>
      </c>
      <c r="I18" s="15">
        <f>+G18+H18</f>
        <v>190151000</v>
      </c>
      <c r="J18" s="143">
        <f>+I18/F18</f>
        <v>0.44404190668700477</v>
      </c>
      <c r="K18" s="80">
        <f>+mei!M18</f>
        <v>129966000</v>
      </c>
      <c r="L18" s="80">
        <f>28300000+16510000+15080000</f>
        <v>59890000</v>
      </c>
      <c r="M18" s="80">
        <f>+K18+L18</f>
        <v>189856000</v>
      </c>
      <c r="N18" s="171">
        <f>+M18/F18</f>
        <v>0.44335302068339361</v>
      </c>
      <c r="O18" s="15">
        <f>+F18-M18</f>
        <v>238371600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+mei!I20</f>
        <v>4394400</v>
      </c>
      <c r="H20" s="79">
        <v>0</v>
      </c>
      <c r="I20" s="15">
        <f>+G20+H20</f>
        <v>4394400</v>
      </c>
      <c r="J20" s="143">
        <f>+I20/F20</f>
        <v>5.1698823529411762E-2</v>
      </c>
      <c r="K20" s="80">
        <f>+mei!M20</f>
        <v>4394400</v>
      </c>
      <c r="L20" s="80">
        <v>0</v>
      </c>
      <c r="M20" s="80">
        <f>+K20+L20</f>
        <v>4394400</v>
      </c>
      <c r="N20" s="171">
        <f>+M20/F20</f>
        <v>5.1698823529411762E-2</v>
      </c>
      <c r="O20" s="15">
        <f>+F20-M20</f>
        <v>80605600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297227680</v>
      </c>
      <c r="H22" s="224">
        <f>+H16+H20+H18</f>
        <v>94153600</v>
      </c>
      <c r="I22" s="141">
        <f>+G22+H22</f>
        <v>391381280</v>
      </c>
      <c r="J22" s="233">
        <f>+I22/F22</f>
        <v>0.42376208507847607</v>
      </c>
      <c r="K22" s="224">
        <f t="shared" ref="K22:L22" si="7">+K16+K20+K18</f>
        <v>297227680</v>
      </c>
      <c r="L22" s="224">
        <f t="shared" si="7"/>
        <v>93858600</v>
      </c>
      <c r="M22" s="232">
        <f>+K22+L22</f>
        <v>391086280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173915000</v>
      </c>
      <c r="H24" s="178">
        <f>+H26</f>
        <v>6503000</v>
      </c>
      <c r="I24" s="10">
        <f>+G24+H24</f>
        <v>180418000</v>
      </c>
      <c r="J24" s="168">
        <f>+I24/F24</f>
        <v>0.91205419204812577</v>
      </c>
      <c r="K24" s="178">
        <f>+K26</f>
        <v>172935000</v>
      </c>
      <c r="L24" s="178">
        <f t="shared" ref="L24:M24" si="9">+L26</f>
        <v>3548000</v>
      </c>
      <c r="M24" s="178">
        <f t="shared" si="9"/>
        <v>176483000</v>
      </c>
      <c r="N24" s="169">
        <f>+M24/F24</f>
        <v>0.89216186841240552</v>
      </c>
      <c r="O24" s="10">
        <f t="shared" ref="O24" si="10">+D24-M24</f>
        <v>21332000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+mei!I26</f>
        <v>173915000</v>
      </c>
      <c r="H26" s="79">
        <v>6503000</v>
      </c>
      <c r="I26" s="15">
        <f>+G26+H26</f>
        <v>180418000</v>
      </c>
      <c r="J26" s="143">
        <f>+I26/F26</f>
        <v>0.91205419204812577</v>
      </c>
      <c r="K26" s="80">
        <f>+mei!M26</f>
        <v>172935000</v>
      </c>
      <c r="L26" s="80">
        <v>3548000</v>
      </c>
      <c r="M26" s="80">
        <f>+K26+L26</f>
        <v>176483000</v>
      </c>
      <c r="N26" s="171">
        <f>+M26/F26</f>
        <v>0.89216186841240552</v>
      </c>
      <c r="O26" s="15">
        <f>+F26-M26</f>
        <v>21332000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173915000</v>
      </c>
      <c r="H28" s="224">
        <f t="shared" si="14"/>
        <v>6503000</v>
      </c>
      <c r="I28" s="232">
        <f>+G28+H28</f>
        <v>180418000</v>
      </c>
      <c r="J28" s="233">
        <f>+I28/F28</f>
        <v>0.91205419204812577</v>
      </c>
      <c r="K28" s="224">
        <f t="shared" ref="K28:L28" si="15">+K26</f>
        <v>172935000</v>
      </c>
      <c r="L28" s="224">
        <f t="shared" si="15"/>
        <v>3548000</v>
      </c>
      <c r="M28" s="232">
        <f>+K28+L28</f>
        <v>176483000</v>
      </c>
      <c r="N28" s="173">
        <f>+M28/F28</f>
        <v>0.89216186841240552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471142680</v>
      </c>
      <c r="H30" s="364">
        <f t="shared" si="16"/>
        <v>100656600</v>
      </c>
      <c r="I30" s="364">
        <f>+G30+H30</f>
        <v>571799280</v>
      </c>
      <c r="J30" s="368">
        <f>+I30/F30</f>
        <v>0.50989665350249413</v>
      </c>
      <c r="K30" s="364">
        <f t="shared" ref="K30:L30" si="17">K12</f>
        <v>470162680</v>
      </c>
      <c r="L30" s="364">
        <f t="shared" si="17"/>
        <v>97406600</v>
      </c>
      <c r="M30" s="364">
        <f>+K30+L30</f>
        <v>567569280</v>
      </c>
      <c r="N30" s="366">
        <f>+M30/F30</f>
        <v>0.50612459061302084</v>
      </c>
      <c r="O30" s="364">
        <f>+F30-M30</f>
        <v>553833020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100770500</v>
      </c>
      <c r="H35" s="11">
        <f t="shared" si="19"/>
        <v>0</v>
      </c>
      <c r="I35" s="10">
        <f>+G35+H35</f>
        <v>100770500</v>
      </c>
      <c r="J35" s="168">
        <f>+I35/F35</f>
        <v>0.15291426403641881</v>
      </c>
      <c r="K35" s="10">
        <f t="shared" ref="K35:L35" si="20">K45</f>
        <v>98742750</v>
      </c>
      <c r="L35" s="10">
        <f t="shared" si="20"/>
        <v>0</v>
      </c>
      <c r="M35" s="10">
        <f>+K35+L35</f>
        <v>98742750</v>
      </c>
      <c r="N35" s="169">
        <f>+M35/F35</f>
        <v>0.14983725341426404</v>
      </c>
      <c r="O35" s="10">
        <f>+F35-M35</f>
        <v>560257250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100770500</v>
      </c>
      <c r="H37" s="194">
        <f>+H39+H41+H43</f>
        <v>0</v>
      </c>
      <c r="I37" s="180">
        <f>+G37+H37</f>
        <v>100770500</v>
      </c>
      <c r="J37" s="168">
        <f>+I37/F37</f>
        <v>0.15291426403641881</v>
      </c>
      <c r="K37" s="194">
        <f>+K39+K41+K43</f>
        <v>98742750</v>
      </c>
      <c r="L37" s="194">
        <f>+L39+L41+L43</f>
        <v>0</v>
      </c>
      <c r="M37" s="180">
        <f>+K37+L37</f>
        <v>98742750</v>
      </c>
      <c r="N37" s="169">
        <f>+M37/F37</f>
        <v>0.14983725341426404</v>
      </c>
      <c r="O37" s="10">
        <f>+F37-M37</f>
        <v>560257250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+mei!I39</f>
        <v>63600000</v>
      </c>
      <c r="H39" s="79">
        <v>0</v>
      </c>
      <c r="I39" s="80">
        <f>+G39+H39</f>
        <v>63600000</v>
      </c>
      <c r="J39" s="143">
        <f>+I39/F39</f>
        <v>0.39750000000000002</v>
      </c>
      <c r="K39" s="80">
        <f>+mei!M39</f>
        <v>62564250</v>
      </c>
      <c r="L39" s="80">
        <v>0</v>
      </c>
      <c r="M39" s="80">
        <f>+K39+L39</f>
        <v>62564250</v>
      </c>
      <c r="N39" s="171">
        <f>+M39/F39</f>
        <v>0.39102656250000001</v>
      </c>
      <c r="O39" s="15">
        <f>+F39-M39</f>
        <v>97435750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+mei!I41</f>
        <v>34605000</v>
      </c>
      <c r="H41" s="30">
        <v>0</v>
      </c>
      <c r="I41" s="80">
        <f>+G41+H41</f>
        <v>34605000</v>
      </c>
      <c r="J41" s="143">
        <f>+I41/F41</f>
        <v>0.10847962382445141</v>
      </c>
      <c r="K41" s="80">
        <f>+mei!M41</f>
        <v>34557000</v>
      </c>
      <c r="L41" s="15">
        <v>0</v>
      </c>
      <c r="M41" s="80">
        <f>+K41+L41</f>
        <v>34557000</v>
      </c>
      <c r="N41" s="171">
        <f>+M41/F41</f>
        <v>0.10832915360501567</v>
      </c>
      <c r="O41" s="15">
        <f>+F41-M41</f>
        <v>284443000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83" t="s">
        <v>240</v>
      </c>
      <c r="D43" s="13">
        <v>180000000</v>
      </c>
      <c r="E43" s="14"/>
      <c r="F43" s="13">
        <f>+D43+E43</f>
        <v>180000000</v>
      </c>
      <c r="G43" s="80">
        <f>+mei!I43</f>
        <v>2565500</v>
      </c>
      <c r="H43" s="79">
        <v>0</v>
      </c>
      <c r="I43" s="80">
        <f>+G43+H43</f>
        <v>2565500</v>
      </c>
      <c r="J43" s="143">
        <f>+I43/F43</f>
        <v>1.4252777777777777E-2</v>
      </c>
      <c r="K43" s="80">
        <f>+mei!M43</f>
        <v>1621500</v>
      </c>
      <c r="L43" s="80">
        <v>0</v>
      </c>
      <c r="M43" s="80">
        <f>+K43+L43</f>
        <v>1621500</v>
      </c>
      <c r="N43" s="171">
        <f>+M43/F43</f>
        <v>9.0083333333333335E-3</v>
      </c>
      <c r="O43" s="15">
        <f>+F43-M43</f>
        <v>178378500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76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100770500</v>
      </c>
      <c r="H45" s="10">
        <f>SUM(H39:H43)</f>
        <v>0</v>
      </c>
      <c r="I45" s="10">
        <f>+G45+H45</f>
        <v>100770500</v>
      </c>
      <c r="J45" s="168">
        <f>+I45/F45</f>
        <v>0.15291426403641881</v>
      </c>
      <c r="K45" s="10">
        <f>SUM(K39:K43)</f>
        <v>98742750</v>
      </c>
      <c r="L45" s="10">
        <f>SUM(L39:L43)</f>
        <v>0</v>
      </c>
      <c r="M45" s="10">
        <f>+K45+L45</f>
        <v>98742750</v>
      </c>
      <c r="N45" s="169">
        <f>+M45/F45</f>
        <v>0.14983725341426404</v>
      </c>
      <c r="O45" s="10">
        <f>+D45-M45</f>
        <v>560257250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100770500</v>
      </c>
      <c r="H47" s="387">
        <f t="shared" si="23"/>
        <v>0</v>
      </c>
      <c r="I47" s="387">
        <f>+G47+H47</f>
        <v>100770500</v>
      </c>
      <c r="J47" s="397">
        <f>+I47/F47</f>
        <v>0.15291426403641881</v>
      </c>
      <c r="K47" s="387">
        <f t="shared" ref="K47:M47" si="24">K45</f>
        <v>98742750</v>
      </c>
      <c r="L47" s="387">
        <f t="shared" si="24"/>
        <v>0</v>
      </c>
      <c r="M47" s="387">
        <f t="shared" si="24"/>
        <v>98742750</v>
      </c>
      <c r="N47" s="394">
        <f>+M47/F47</f>
        <v>0.14983725341426404</v>
      </c>
      <c r="O47" s="387">
        <f>+F47-M47</f>
        <v>560257250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6172164500</v>
      </c>
      <c r="H52" s="10">
        <f t="shared" si="26"/>
        <v>6055425800</v>
      </c>
      <c r="I52" s="312">
        <f>+G52+H52</f>
        <v>12227590300</v>
      </c>
      <c r="J52" s="168">
        <f>+I52/F52</f>
        <v>0.68035965657445308</v>
      </c>
      <c r="K52" s="312">
        <f t="shared" ref="K52:L52" si="27">+K62</f>
        <v>6171510000</v>
      </c>
      <c r="L52" s="10">
        <f t="shared" si="27"/>
        <v>6054832500</v>
      </c>
      <c r="M52" s="312">
        <f>+K52+L52</f>
        <v>12226342500</v>
      </c>
      <c r="N52" s="169">
        <f>+M52/F52</f>
        <v>0.68029022729536825</v>
      </c>
      <c r="O52" s="10">
        <f>+F52-M52</f>
        <v>5745902300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315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6172164500</v>
      </c>
      <c r="H54" s="178">
        <f t="shared" si="28"/>
        <v>6055425800</v>
      </c>
      <c r="I54" s="312">
        <f>+G54+H54</f>
        <v>12227590300</v>
      </c>
      <c r="J54" s="168">
        <f>+I54/F54</f>
        <v>0.68035965657445308</v>
      </c>
      <c r="K54" s="314">
        <f>SUM(K56:K60)</f>
        <v>6171510000</v>
      </c>
      <c r="L54" s="314">
        <f>SUM(L56:L60)</f>
        <v>6054832500</v>
      </c>
      <c r="M54" s="351">
        <f>+K54+L54</f>
        <v>12226342500</v>
      </c>
      <c r="N54" s="169">
        <f>+M54/F54</f>
        <v>0.68029022729536825</v>
      </c>
      <c r="O54" s="10">
        <f>+F54-M54</f>
        <v>5745902300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+mei!I56</f>
        <v>3819173500</v>
      </c>
      <c r="H56" s="79">
        <f>944550000+15500000+28142500+5000000000+42423300</f>
        <v>6030615800</v>
      </c>
      <c r="I56" s="15">
        <f>+G56+H56</f>
        <v>9849789300</v>
      </c>
      <c r="J56" s="143">
        <f>+I56/F56</f>
        <v>0.69681610130974869</v>
      </c>
      <c r="K56" s="315">
        <f>+mei!M56</f>
        <v>3819019000</v>
      </c>
      <c r="L56" s="80">
        <f>944550000+15500000+28142500+5000000000+42330000</f>
        <v>6030522500</v>
      </c>
      <c r="M56" s="80">
        <f>+K56+L56</f>
        <v>9849541500</v>
      </c>
      <c r="N56" s="171">
        <f>+M56/F56</f>
        <v>0.69679857088096031</v>
      </c>
      <c r="O56" s="15">
        <f>+F56-M56</f>
        <v>4285880000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+mei!I58</f>
        <v>1898600000</v>
      </c>
      <c r="H58" s="79">
        <v>7040000</v>
      </c>
      <c r="I58" s="15">
        <f>+G58+H58</f>
        <v>1905640000</v>
      </c>
      <c r="J58" s="143">
        <f>+I58/F58</f>
        <v>0.67274266406928118</v>
      </c>
      <c r="K58" s="315">
        <f>+mei!M58</f>
        <v>1898600000</v>
      </c>
      <c r="L58" s="80">
        <v>6040000</v>
      </c>
      <c r="M58" s="80">
        <f>+K58+L58</f>
        <v>1904640000</v>
      </c>
      <c r="N58" s="171">
        <f>+M58/F58</f>
        <v>0.67238963691616238</v>
      </c>
      <c r="O58" s="15">
        <f>+F58-M58</f>
        <v>928003300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+mei!I60</f>
        <v>454391000</v>
      </c>
      <c r="H60" s="79">
        <v>17770000</v>
      </c>
      <c r="I60" s="15">
        <f>+G60+H60</f>
        <v>472161000</v>
      </c>
      <c r="J60" s="143">
        <f>+I60/F60</f>
        <v>0.47019558246529508</v>
      </c>
      <c r="K60" s="80">
        <f>+mei!M60</f>
        <v>453891000</v>
      </c>
      <c r="L60" s="80">
        <v>18270000</v>
      </c>
      <c r="M60" s="80">
        <f>+K60+L60</f>
        <v>472161000</v>
      </c>
      <c r="N60" s="171">
        <f>+M60/F60</f>
        <v>0.47019558246529508</v>
      </c>
      <c r="O60" s="15">
        <f>+F60-M60</f>
        <v>532019000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6172164500</v>
      </c>
      <c r="H62" s="364">
        <f>SUM(H56:H60)</f>
        <v>6055425800</v>
      </c>
      <c r="I62" s="455">
        <f>H62+G62</f>
        <v>12227590300</v>
      </c>
      <c r="J62" s="368">
        <f>+I62/F62</f>
        <v>0.68035965657445308</v>
      </c>
      <c r="K62" s="455">
        <f>SUM(K56:K60)</f>
        <v>6171510000</v>
      </c>
      <c r="L62" s="364">
        <f>SUM(L56:L60)</f>
        <v>6054832500</v>
      </c>
      <c r="M62" s="455">
        <f>K62+L62</f>
        <v>12226342500</v>
      </c>
      <c r="N62" s="366">
        <f>+M62/F62</f>
        <v>0.68029022729536825</v>
      </c>
      <c r="O62" s="364">
        <f>+F62-M62</f>
        <v>5745902300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464"/>
      <c r="J63" s="369"/>
      <c r="K63" s="464"/>
      <c r="L63" s="365"/>
      <c r="M63" s="464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17.100000000000001" customHeight="1" x14ac:dyDescent="0.2">
      <c r="A67" s="74"/>
      <c r="B67" s="217" t="s">
        <v>158</v>
      </c>
      <c r="C67" s="33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350">
        <f t="shared" ref="G67" si="33">+G77</f>
        <v>2293334750</v>
      </c>
      <c r="H67" s="239">
        <f>+H77</f>
        <v>1586756000</v>
      </c>
      <c r="I67" s="10">
        <f>+G67+H67</f>
        <v>3880090750</v>
      </c>
      <c r="J67" s="168">
        <f>+I67/F67</f>
        <v>0.64283176508693352</v>
      </c>
      <c r="K67" s="351">
        <f>+K77</f>
        <v>2288767656</v>
      </c>
      <c r="L67" s="180">
        <f>+L77</f>
        <v>1591060700</v>
      </c>
      <c r="M67" s="180">
        <f>+K67+L67</f>
        <v>3879828356</v>
      </c>
      <c r="N67" s="169">
        <f>+M67/F67</f>
        <v>0.64278829311448848</v>
      </c>
      <c r="O67" s="10">
        <f>+F67-M67</f>
        <v>2156106644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351">
        <f>SUM(G71:G75)</f>
        <v>2293334750</v>
      </c>
      <c r="H69" s="180">
        <f>SUM(H71:H75)</f>
        <v>1586756000</v>
      </c>
      <c r="I69" s="180">
        <f>+G69+H69</f>
        <v>3880090750</v>
      </c>
      <c r="J69" s="168">
        <f>+I69/F69</f>
        <v>0.64283176508693352</v>
      </c>
      <c r="K69" s="351">
        <f>SUM(K71:K75)</f>
        <v>2288767656</v>
      </c>
      <c r="L69" s="180">
        <f>SUM(L71:L75)</f>
        <v>1591060700</v>
      </c>
      <c r="M69" s="180">
        <f>+K69+L69</f>
        <v>3879828356</v>
      </c>
      <c r="N69" s="169">
        <f>+M69/F69</f>
        <v>0.64278829311448848</v>
      </c>
      <c r="O69" s="10">
        <f>+F69-M69</f>
        <v>2156106644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+mei!I71</f>
        <v>24429000</v>
      </c>
      <c r="H71" s="79">
        <v>1700000</v>
      </c>
      <c r="I71" s="80">
        <f>+G71+H71</f>
        <v>26129000</v>
      </c>
      <c r="J71" s="143">
        <f>+I71/F71</f>
        <v>6.9919721701899917E-2</v>
      </c>
      <c r="K71" s="80">
        <f>+mei!M71</f>
        <v>23286106</v>
      </c>
      <c r="L71" s="80">
        <v>2640900</v>
      </c>
      <c r="M71" s="80">
        <f>+K71+L71</f>
        <v>25927006</v>
      </c>
      <c r="N71" s="171">
        <f>+M71/F71</f>
        <v>6.9379197217019004E-2</v>
      </c>
      <c r="O71" s="15">
        <f>+F71-M71</f>
        <v>347772994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+mei!I73</f>
        <v>57373250</v>
      </c>
      <c r="H73" s="79">
        <f>10956000+631100</f>
        <v>11587100</v>
      </c>
      <c r="I73" s="80">
        <f>+G73+H73</f>
        <v>68960350</v>
      </c>
      <c r="J73" s="143">
        <f>+I73/F73</f>
        <v>0.40242874082926977</v>
      </c>
      <c r="K73" s="80">
        <f>+mei!M73</f>
        <v>57004450</v>
      </c>
      <c r="L73" s="80">
        <f>10956000+999900</f>
        <v>11955900</v>
      </c>
      <c r="M73" s="80">
        <f>+K73+L73</f>
        <v>68960350</v>
      </c>
      <c r="N73" s="171">
        <f>+M73/F73</f>
        <v>0.40242874082926977</v>
      </c>
      <c r="O73" s="15">
        <f>+F73-M73</f>
        <v>102400050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315">
        <f>+mei!I75</f>
        <v>2211532500</v>
      </c>
      <c r="H75" s="79">
        <f>1565000000+8468900</f>
        <v>1573468900</v>
      </c>
      <c r="I75" s="80">
        <f>+G75+H75</f>
        <v>3785001400</v>
      </c>
      <c r="J75" s="143">
        <f>+I75/F75</f>
        <v>0.6893257769900627</v>
      </c>
      <c r="K75" s="315">
        <f>+mei!M75</f>
        <v>2208477100</v>
      </c>
      <c r="L75" s="80">
        <f>1565000000+11463900</f>
        <v>1576463900</v>
      </c>
      <c r="M75" s="80">
        <f>+K75+L75</f>
        <v>3784941000</v>
      </c>
      <c r="N75" s="171">
        <f>+M75/F75</f>
        <v>0.68931477692096632</v>
      </c>
      <c r="O75" s="15">
        <f>+F75-M75</f>
        <v>1705933600</v>
      </c>
      <c r="P75" s="179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395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455">
        <f>SUM(G71:G75)</f>
        <v>2293334750</v>
      </c>
      <c r="H77" s="364">
        <f>SUM(H71:H75)</f>
        <v>1586756000</v>
      </c>
      <c r="I77" s="364">
        <f>+G77+H77</f>
        <v>3880090750</v>
      </c>
      <c r="J77" s="368">
        <f>+I77/F77</f>
        <v>0.64283176508693352</v>
      </c>
      <c r="K77" s="455">
        <f>SUM(K71:K75)</f>
        <v>2288767656</v>
      </c>
      <c r="L77" s="364">
        <f>SUM(L71:L75)</f>
        <v>1591060700</v>
      </c>
      <c r="M77" s="364">
        <f>+K77+L77</f>
        <v>3879828356</v>
      </c>
      <c r="N77" s="366">
        <f>+M77/F77</f>
        <v>0.64278829311448848</v>
      </c>
      <c r="O77" s="364">
        <f>+F77-M77</f>
        <v>2156106644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396"/>
      <c r="D78" s="396"/>
      <c r="E78" s="396"/>
      <c r="F78" s="396"/>
      <c r="G78" s="456"/>
      <c r="H78" s="396"/>
      <c r="I78" s="396"/>
      <c r="J78" s="369"/>
      <c r="K78" s="45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9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793793150</v>
      </c>
      <c r="H82" s="10">
        <f t="shared" si="40"/>
        <v>32645900</v>
      </c>
      <c r="I82" s="10">
        <f>+G82+H82</f>
        <v>826439050</v>
      </c>
      <c r="J82" s="168">
        <f>+I82/F82</f>
        <v>0.37426157986308806</v>
      </c>
      <c r="K82" s="10">
        <f t="shared" ref="K82:L82" si="41">+K83+K93</f>
        <v>773658849</v>
      </c>
      <c r="L82" s="10">
        <f t="shared" si="41"/>
        <v>44805800</v>
      </c>
      <c r="M82" s="10">
        <f>+K82+L82</f>
        <v>818464649</v>
      </c>
      <c r="N82" s="169">
        <f>+M82/F82</f>
        <v>0.37065028884686396</v>
      </c>
      <c r="O82" s="10">
        <f>+F82-M82</f>
        <v>1389721001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>+G91</f>
        <v>756576250</v>
      </c>
      <c r="H83" s="10">
        <f>+H91</f>
        <v>15645900</v>
      </c>
      <c r="I83" s="180">
        <f>+G83+H83</f>
        <v>772222150</v>
      </c>
      <c r="J83" s="168">
        <f>+I83/F83</f>
        <v>0.41100087711734956</v>
      </c>
      <c r="K83" s="10">
        <f>+K91</f>
        <v>748111299</v>
      </c>
      <c r="L83" s="10">
        <f>+L91</f>
        <v>19152800</v>
      </c>
      <c r="M83" s="180">
        <f>+K83+L83</f>
        <v>767264099</v>
      </c>
      <c r="N83" s="169">
        <f>+M83/F83</f>
        <v>0.40836204668520959</v>
      </c>
      <c r="O83" s="10">
        <f>+O91+O96</f>
        <v>3268603001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80">
        <f>+mei!I85</f>
        <v>45000000</v>
      </c>
      <c r="H85" s="285">
        <v>0</v>
      </c>
      <c r="I85" s="284">
        <f>G85+H85</f>
        <v>45000000</v>
      </c>
      <c r="J85" s="287">
        <f>+I85/F85</f>
        <v>0.16376028551059912</v>
      </c>
      <c r="K85" s="284">
        <f>+mei!M85</f>
        <v>41800000</v>
      </c>
      <c r="L85" s="284">
        <v>1000000</v>
      </c>
      <c r="M85" s="284">
        <f>K85+L85</f>
        <v>42800000</v>
      </c>
      <c r="N85" s="288">
        <f>+M85/F85</f>
        <v>0.15575422710785872</v>
      </c>
      <c r="O85" s="286">
        <f>+F85-M85</f>
        <v>231991900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+mei!I87</f>
        <v>641821400</v>
      </c>
      <c r="H87" s="79">
        <v>0</v>
      </c>
      <c r="I87" s="284">
        <f>G87+H87</f>
        <v>641821400</v>
      </c>
      <c r="J87" s="143"/>
      <c r="K87" s="80">
        <f>+mei!M87</f>
        <v>640060500</v>
      </c>
      <c r="L87" s="80">
        <v>1580800</v>
      </c>
      <c r="M87" s="80">
        <f>+K87+L87</f>
        <v>641641300</v>
      </c>
      <c r="N87" s="171">
        <f>+M87/F87</f>
        <v>0.98674363878895477</v>
      </c>
      <c r="O87" s="286">
        <f>+F87-M87</f>
        <v>8620100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2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+mei!I89</f>
        <v>69754850</v>
      </c>
      <c r="H89" s="79">
        <v>15645900</v>
      </c>
      <c r="I89" s="15">
        <f>+G89+H89</f>
        <v>85400750</v>
      </c>
      <c r="J89" s="143">
        <f>+I89/F89</f>
        <v>8.9534682695121257E-2</v>
      </c>
      <c r="K89" s="80">
        <f>+mei!M89</f>
        <v>66250799</v>
      </c>
      <c r="L89" s="80">
        <v>16572000</v>
      </c>
      <c r="M89" s="80">
        <f>+K89+L89</f>
        <v>82822799</v>
      </c>
      <c r="N89" s="171">
        <f>+M89/F89</f>
        <v>8.6831942674822013E-2</v>
      </c>
      <c r="O89" s="15">
        <f>+F89-M89</f>
        <v>871005901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3">SUM(G85:G90)</f>
        <v>756576250</v>
      </c>
      <c r="H91" s="141">
        <f t="shared" si="43"/>
        <v>15645900</v>
      </c>
      <c r="I91" s="232">
        <f>+G91+H91</f>
        <v>772222150</v>
      </c>
      <c r="J91" s="176">
        <f>+I91/F91</f>
        <v>0.41100087711734956</v>
      </c>
      <c r="K91" s="141">
        <f t="shared" ref="K91" si="44">SUM(K85:K90)</f>
        <v>748111299</v>
      </c>
      <c r="L91" s="141">
        <f>SUM(L85:L90)</f>
        <v>19152800</v>
      </c>
      <c r="M91" s="232">
        <f>+K91+L91</f>
        <v>767264099</v>
      </c>
      <c r="N91" s="173">
        <f>+M91/F91</f>
        <v>0.40836204668520959</v>
      </c>
      <c r="O91" s="141">
        <f>SUM(O85:O90)</f>
        <v>1111617901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37216900</v>
      </c>
      <c r="H93" s="10">
        <f t="shared" si="45"/>
        <v>17000000</v>
      </c>
      <c r="I93" s="180">
        <f>+G93+H93</f>
        <v>54216900</v>
      </c>
      <c r="J93" s="168">
        <f>+I93/F93</f>
        <v>0.16464105393304934</v>
      </c>
      <c r="K93" s="10">
        <f t="shared" ref="K93:L93" si="46">+K95</f>
        <v>25547550</v>
      </c>
      <c r="L93" s="10">
        <f t="shared" si="46"/>
        <v>25653000</v>
      </c>
      <c r="M93" s="180">
        <f>+K93+L93</f>
        <v>51200550</v>
      </c>
      <c r="N93" s="169">
        <f>+M93/F93</f>
        <v>0.15548127085745936</v>
      </c>
      <c r="O93" s="10">
        <f>+F93-M93</f>
        <v>278103100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>
        <v>-36639150</v>
      </c>
      <c r="F95" s="13">
        <f>+D95+E95</f>
        <v>329303650</v>
      </c>
      <c r="G95" s="80">
        <f>+mei!I95</f>
        <v>37216900</v>
      </c>
      <c r="H95" s="79">
        <v>17000000</v>
      </c>
      <c r="I95" s="15">
        <f>+G95+H95</f>
        <v>54216900</v>
      </c>
      <c r="J95" s="143">
        <f>+I95/F95</f>
        <v>0.16464105393304934</v>
      </c>
      <c r="K95" s="80">
        <f>+mei!M95</f>
        <v>25547550</v>
      </c>
      <c r="L95" s="80">
        <v>25653000</v>
      </c>
      <c r="M95" s="80">
        <f>+K95+L95</f>
        <v>51200550</v>
      </c>
      <c r="N95" s="171">
        <f>+M95/F95</f>
        <v>0.15548127085745936</v>
      </c>
      <c r="O95" s="15">
        <f>+F95-M95</f>
        <v>278103100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37216900</v>
      </c>
      <c r="H96" s="10">
        <f t="shared" si="48"/>
        <v>17000000</v>
      </c>
      <c r="I96" s="180">
        <f>+G96+H96</f>
        <v>54216900</v>
      </c>
      <c r="J96" s="168">
        <f>+I96/F96</f>
        <v>2.4552691029397822E-2</v>
      </c>
      <c r="K96" s="10">
        <f t="shared" ref="K96:L96" si="49">+K95</f>
        <v>25547550</v>
      </c>
      <c r="L96" s="10">
        <f t="shared" si="49"/>
        <v>25653000</v>
      </c>
      <c r="M96" s="180">
        <f>+K96+L96</f>
        <v>51200550</v>
      </c>
      <c r="N96" s="169">
        <f>+M96/F96</f>
        <v>2.3186705338837793E-2</v>
      </c>
      <c r="O96" s="10">
        <f>+F96-M96</f>
        <v>2156985100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362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364">
        <f t="shared" si="50"/>
        <v>793793150</v>
      </c>
      <c r="H98" s="364">
        <f t="shared" si="50"/>
        <v>32645900</v>
      </c>
      <c r="I98" s="364">
        <f t="shared" si="50"/>
        <v>826439050</v>
      </c>
      <c r="J98" s="398">
        <f>+I98/F98</f>
        <v>0.37426157986308806</v>
      </c>
      <c r="K98" s="364">
        <f t="shared" ref="K98:L98" si="51">+K83+K93</f>
        <v>773658849</v>
      </c>
      <c r="L98" s="364">
        <f t="shared" si="51"/>
        <v>44805800</v>
      </c>
      <c r="M98" s="364">
        <f>+K98+L98</f>
        <v>818464649</v>
      </c>
      <c r="N98" s="366">
        <f>+M98/F98</f>
        <v>0.37065028884686396</v>
      </c>
      <c r="O98" s="364">
        <f>+F98-M98</f>
        <v>1389721001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9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182000303</v>
      </c>
      <c r="H103" s="10">
        <f t="shared" si="54"/>
        <v>26767600</v>
      </c>
      <c r="I103" s="10">
        <f>+G103+H103</f>
        <v>208767903</v>
      </c>
      <c r="J103" s="168">
        <f>+I103/F103</f>
        <v>8.6178334515234059E-2</v>
      </c>
      <c r="K103" s="10">
        <f t="shared" ref="K103:L103" si="55">+K113</f>
        <v>175374923</v>
      </c>
      <c r="L103" s="10">
        <f t="shared" si="55"/>
        <v>32209750</v>
      </c>
      <c r="M103" s="10">
        <f>+K103+L103</f>
        <v>207584673</v>
      </c>
      <c r="N103" s="169">
        <f>+M103/D103</f>
        <v>8.5689903155416927E-2</v>
      </c>
      <c r="O103" s="10">
        <f>+F103-M103</f>
        <v>2214925627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SUM(G107:G111)</f>
        <v>182000303</v>
      </c>
      <c r="H105" s="79">
        <f>SUM(H107:H111)</f>
        <v>26767600</v>
      </c>
      <c r="I105" s="15">
        <f>+G105+H105</f>
        <v>208767903</v>
      </c>
      <c r="J105" s="143">
        <f>+I105/F105</f>
        <v>8.6178334515234059E-2</v>
      </c>
      <c r="K105" s="80">
        <f>SUM(K107:K111)</f>
        <v>175374923</v>
      </c>
      <c r="L105" s="80">
        <f>SUM(L107:L111)</f>
        <v>32209750</v>
      </c>
      <c r="M105" s="80">
        <f>+K105+L105</f>
        <v>207584673</v>
      </c>
      <c r="N105" s="171">
        <f>+M105/F105</f>
        <v>8.5689903155416927E-2</v>
      </c>
      <c r="O105" s="15">
        <f>+F105-M105</f>
        <v>2214925627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+mei!I107</f>
        <v>136877053</v>
      </c>
      <c r="H107" s="79">
        <v>272570</v>
      </c>
      <c r="I107" s="15">
        <f>+G107+H107</f>
        <v>137149623</v>
      </c>
      <c r="J107" s="143">
        <f>+I107/F107</f>
        <v>6.058543448821313E-2</v>
      </c>
      <c r="K107" s="80">
        <f>+mei!M107</f>
        <v>136249623</v>
      </c>
      <c r="L107" s="80">
        <v>0</v>
      </c>
      <c r="M107" s="80">
        <f>+K107+L107</f>
        <v>136249623</v>
      </c>
      <c r="N107" s="171">
        <f>+M107/F107</f>
        <v>6.0187862188365159E-2</v>
      </c>
      <c r="O107" s="15">
        <f>+F107-M107</f>
        <v>2127489577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+mei!I109</f>
        <v>19191000</v>
      </c>
      <c r="H109" s="79">
        <v>14071800</v>
      </c>
      <c r="I109" s="15">
        <f>+G109+H109</f>
        <v>33262800</v>
      </c>
      <c r="J109" s="143">
        <f>+I109/F109</f>
        <v>0.40779677100203393</v>
      </c>
      <c r="K109" s="80">
        <f>+mei!M109</f>
        <v>19191000</v>
      </c>
      <c r="L109" s="80">
        <v>14071800</v>
      </c>
      <c r="M109" s="80">
        <f>+K109+L109</f>
        <v>33262800</v>
      </c>
      <c r="N109" s="171">
        <f>+M109/F109</f>
        <v>0.40779677100203393</v>
      </c>
      <c r="O109" s="15">
        <f>+F109-M109</f>
        <v>48304300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14.1" customHeight="1" x14ac:dyDescent="0.2">
      <c r="A111" s="74">
        <v>3</v>
      </c>
      <c r="B111" s="75" t="s">
        <v>257</v>
      </c>
      <c r="C111" s="27" t="s">
        <v>259</v>
      </c>
      <c r="D111" s="13">
        <v>77204000</v>
      </c>
      <c r="E111" s="14"/>
      <c r="F111" s="13">
        <f>+D111+E111</f>
        <v>77204000</v>
      </c>
      <c r="G111" s="80">
        <f>+mei!I111</f>
        <v>25932250</v>
      </c>
      <c r="H111" s="79">
        <v>12423230</v>
      </c>
      <c r="I111" s="15">
        <f>+G111+H111</f>
        <v>38355480</v>
      </c>
      <c r="J111" s="143">
        <f>+I111/F111</f>
        <v>0.49680690119682919</v>
      </c>
      <c r="K111" s="80">
        <f>+mei!M111</f>
        <v>19934300</v>
      </c>
      <c r="L111" s="80">
        <v>18137950</v>
      </c>
      <c r="M111" s="80">
        <f>+K111+L111</f>
        <v>38072250</v>
      </c>
      <c r="N111" s="171">
        <f>+M111/F111</f>
        <v>0.49313830889591215</v>
      </c>
      <c r="O111" s="15">
        <f>+F111-M111</f>
        <v>39131750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182000303</v>
      </c>
      <c r="H113" s="364">
        <f>SUM(H107:H111)</f>
        <v>26767600</v>
      </c>
      <c r="I113" s="364">
        <f>+G113+H113</f>
        <v>208767903</v>
      </c>
      <c r="J113" s="398">
        <f>+I113/F113</f>
        <v>8.6178334515234059E-2</v>
      </c>
      <c r="K113" s="364">
        <f>SUM(K107:K111)</f>
        <v>175374923</v>
      </c>
      <c r="L113" s="364">
        <f>SUM(L107:L111)</f>
        <v>32209750</v>
      </c>
      <c r="M113" s="364">
        <f>+K113+L113</f>
        <v>207584673</v>
      </c>
      <c r="N113" s="366">
        <f>+M113/F113</f>
        <v>8.5689903155416927E-2</v>
      </c>
      <c r="O113" s="364">
        <f>+F113-M113</f>
        <v>2214925627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244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346246650</v>
      </c>
      <c r="H118" s="10">
        <f t="shared" si="63"/>
        <v>54836000</v>
      </c>
      <c r="I118" s="10">
        <f>+G118+H118</f>
        <v>401082650</v>
      </c>
      <c r="J118" s="168">
        <f>+I118/F118</f>
        <v>0.35888723679681211</v>
      </c>
      <c r="K118" s="10">
        <f t="shared" ref="K118:L118" si="64">+K126</f>
        <v>346189150</v>
      </c>
      <c r="L118" s="10">
        <f t="shared" si="64"/>
        <v>54631000</v>
      </c>
      <c r="M118" s="10">
        <f>+K118+L118</f>
        <v>400820150</v>
      </c>
      <c r="N118" s="169">
        <f>+M118/D118</f>
        <v>0.35865235279058755</v>
      </c>
      <c r="O118" s="10">
        <f>+F118-M118</f>
        <v>716752750</v>
      </c>
      <c r="P118" s="77"/>
      <c r="Q118" s="6" t="str">
        <f t="shared" ref="Q118:Q150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+mei!I120</f>
        <v>258239650</v>
      </c>
      <c r="H120" s="79">
        <f>35700000+5925000</f>
        <v>41625000</v>
      </c>
      <c r="I120" s="80">
        <f t="shared" ref="I120" si="66">H120+G120</f>
        <v>299864650</v>
      </c>
      <c r="J120" s="143">
        <f>+I120/F120</f>
        <v>0.42480160602153244</v>
      </c>
      <c r="K120" s="80">
        <f>+mei!M120</f>
        <v>258239650</v>
      </c>
      <c r="L120" s="80">
        <f>35700000+5718000</f>
        <v>41418000</v>
      </c>
      <c r="M120" s="80">
        <f t="shared" ref="M120" si="67">K120+L120</f>
        <v>299657650</v>
      </c>
      <c r="N120" s="171">
        <f>+M120/D120</f>
        <v>0.42450836061082309</v>
      </c>
      <c r="O120" s="15">
        <f>+F120-M120</f>
        <v>406235750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+mei!I122</f>
        <v>18326000</v>
      </c>
      <c r="H122" s="79">
        <v>0</v>
      </c>
      <c r="I122" s="15">
        <f>+G122+H122</f>
        <v>18326000</v>
      </c>
      <c r="J122" s="143">
        <f>+I122/F122</f>
        <v>0.11931999453078711</v>
      </c>
      <c r="K122" s="80">
        <f>+mei!M122</f>
        <v>18326000</v>
      </c>
      <c r="L122" s="80">
        <v>0</v>
      </c>
      <c r="M122" s="80">
        <f>+K122+L122</f>
        <v>18326000</v>
      </c>
      <c r="N122" s="171">
        <f>+M122/D122</f>
        <v>0.11931999453078711</v>
      </c>
      <c r="O122" s="15">
        <f>+F122-M122</f>
        <v>135261000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+mei!I124</f>
        <v>69681000</v>
      </c>
      <c r="H124" s="79">
        <v>13211000</v>
      </c>
      <c r="I124" s="15">
        <f>+G124+H124</f>
        <v>82892000</v>
      </c>
      <c r="J124" s="143">
        <f>+I124/F124</f>
        <v>0.32117167294671484</v>
      </c>
      <c r="K124" s="80">
        <f>+mei!M124</f>
        <v>69623500</v>
      </c>
      <c r="L124" s="80">
        <v>13213000</v>
      </c>
      <c r="M124" s="80">
        <f>+K124+L124</f>
        <v>82836500</v>
      </c>
      <c r="N124" s="171">
        <f>+M124/D124</f>
        <v>0.32095663376502609</v>
      </c>
      <c r="O124" s="15">
        <f>+F124-M124</f>
        <v>175256000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346246650</v>
      </c>
      <c r="H126" s="364">
        <f>SUM(H120:H124)</f>
        <v>54836000</v>
      </c>
      <c r="I126" s="364">
        <f>+G126+H126</f>
        <v>401082650</v>
      </c>
      <c r="J126" s="368">
        <f>+I126/F126</f>
        <v>0.35888723679681211</v>
      </c>
      <c r="K126" s="364">
        <f>SUM(K120:K124)</f>
        <v>346189150</v>
      </c>
      <c r="L126" s="364">
        <f>SUM(L120:L124)</f>
        <v>54631000</v>
      </c>
      <c r="M126" s="364">
        <f>+K126+L126</f>
        <v>400820150</v>
      </c>
      <c r="N126" s="366">
        <v>0</v>
      </c>
      <c r="O126" s="364">
        <f>+F126-M126</f>
        <v>716752750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+D133+D140+D148+D154+D162+D169</f>
        <v>25992643593</v>
      </c>
      <c r="E131" s="10">
        <f>+E133+E140+E148+E154+E162+E169</f>
        <v>0</v>
      </c>
      <c r="F131" s="10">
        <f>+F133+F140+F148+F154+F162+F169</f>
        <v>25992643593</v>
      </c>
      <c r="G131" s="312">
        <f>+G133+G140+G148+G154+G162+G169</f>
        <v>9092500786</v>
      </c>
      <c r="H131" s="10">
        <f>+H133+H140+H148+H154+H162+H169</f>
        <v>3245592565</v>
      </c>
      <c r="I131" s="312">
        <f>+G131+H131</f>
        <v>12338093351</v>
      </c>
      <c r="J131" s="168">
        <f>+I131/F131</f>
        <v>0.47467635628731258</v>
      </c>
      <c r="K131" s="312">
        <f>+K133+K140+K148+K154+K162+K169</f>
        <v>9092489086</v>
      </c>
      <c r="L131" s="10">
        <f>+L133+L140+L148+L154+L162+L169</f>
        <v>3245592565</v>
      </c>
      <c r="M131" s="312">
        <f>+K131+L131</f>
        <v>12338081651</v>
      </c>
      <c r="N131" s="169">
        <f>+M131/F131</f>
        <v>0.47467590615995409</v>
      </c>
      <c r="O131" s="10">
        <f>+F131-M131</f>
        <v>13654561942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7379000</v>
      </c>
      <c r="H133" s="178">
        <f t="shared" si="72"/>
        <v>0</v>
      </c>
      <c r="I133" s="10">
        <f>+G133+H133</f>
        <v>7379000</v>
      </c>
      <c r="J133" s="168">
        <f>+I133/F133</f>
        <v>0.28354050990412882</v>
      </c>
      <c r="K133" s="178">
        <f t="shared" ref="K133:L133" si="73">+K135+K137</f>
        <v>7379000</v>
      </c>
      <c r="L133" s="178">
        <f t="shared" si="73"/>
        <v>0</v>
      </c>
      <c r="M133" s="180">
        <f>+K133+L133</f>
        <v>7379000</v>
      </c>
      <c r="N133" s="169">
        <f>+M133/F133</f>
        <v>0.28354050990412882</v>
      </c>
      <c r="O133" s="10">
        <f>+F133-M133</f>
        <v>18645500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17.100000000000001" customHeight="1" x14ac:dyDescent="0.2">
      <c r="A135" s="74">
        <v>1</v>
      </c>
      <c r="B135" s="75" t="s">
        <v>282</v>
      </c>
      <c r="C135" s="83" t="s">
        <v>301</v>
      </c>
      <c r="D135" s="13">
        <v>11962500</v>
      </c>
      <c r="E135" s="14"/>
      <c r="F135" s="13">
        <f>E135+D135</f>
        <v>11962500</v>
      </c>
      <c r="G135" s="80">
        <f>+mei!I135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+mei!M135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17.10000000000000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+mei!I137</f>
        <v>4439000</v>
      </c>
      <c r="H137" s="79">
        <v>0</v>
      </c>
      <c r="I137" s="15">
        <f>+G137+H137</f>
        <v>4439000</v>
      </c>
      <c r="J137" s="143">
        <f>+I137/F137</f>
        <v>0.31567344616697485</v>
      </c>
      <c r="K137" s="80">
        <f>+mei!M137</f>
        <v>4439000</v>
      </c>
      <c r="L137" s="80">
        <v>0</v>
      </c>
      <c r="M137" s="80">
        <f>+K137+L137</f>
        <v>4439000</v>
      </c>
      <c r="N137" s="171">
        <f>+M137/F137</f>
        <v>0.31567344616697485</v>
      </c>
      <c r="O137" s="15">
        <f>+F137-M137</f>
        <v>9623000</v>
      </c>
      <c r="P137" s="77"/>
      <c r="Q137" s="6" t="str">
        <f t="shared" ref="Q137" si="76">IF(M137&lt;=I137,"OKE","Salah")</f>
        <v>OKE</v>
      </c>
      <c r="R137" s="6"/>
    </row>
    <row r="138" spans="1:23" ht="10.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17.100000000000001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7379000</v>
      </c>
      <c r="H139" s="141">
        <f>+H135+H137</f>
        <v>0</v>
      </c>
      <c r="I139" s="141">
        <f>+G139+H139</f>
        <v>7379000</v>
      </c>
      <c r="J139" s="233">
        <f>+I139/F139</f>
        <v>0.28354050990412882</v>
      </c>
      <c r="K139" s="141">
        <f>+K135+K137</f>
        <v>7379000</v>
      </c>
      <c r="L139" s="141">
        <f>+L135+L137</f>
        <v>0</v>
      </c>
      <c r="M139" s="232">
        <f>+K139+L139</f>
        <v>7379000</v>
      </c>
      <c r="N139" s="247">
        <f>+M139/F139</f>
        <v>0.28354050990412882</v>
      </c>
      <c r="O139" s="141"/>
      <c r="P139" s="83"/>
      <c r="Q139" s="6"/>
      <c r="R139" s="6"/>
    </row>
    <row r="140" spans="1:23" ht="17.100000000000001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8652566902</v>
      </c>
      <c r="H140" s="178">
        <f t="shared" si="77"/>
        <v>3137741372</v>
      </c>
      <c r="I140" s="312">
        <f>+G140+H140</f>
        <v>11790308274</v>
      </c>
      <c r="J140" s="168">
        <f>+I140/F140</f>
        <v>0.49395606064373421</v>
      </c>
      <c r="K140" s="314">
        <f t="shared" ref="K140:L140" si="78">SUM(K142:K146)</f>
        <v>8652555202</v>
      </c>
      <c r="L140" s="178">
        <f t="shared" si="78"/>
        <v>3137741372</v>
      </c>
      <c r="M140" s="351">
        <f>+K140+L140</f>
        <v>11790296574</v>
      </c>
      <c r="N140" s="169">
        <f>+M140/D140</f>
        <v>0.49395557047114708</v>
      </c>
      <c r="O140" s="10">
        <f>+F140-M140</f>
        <v>12078847290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+mei!I142</f>
        <v>8637860802</v>
      </c>
      <c r="H142" s="79">
        <f>21862058+679029660+20629678+21862058+838738007+7800000+678717020+20326038+7500000+813162310+21464543</f>
        <v>3131091372</v>
      </c>
      <c r="I142" s="352">
        <f>+G142+H142</f>
        <v>11768952174</v>
      </c>
      <c r="J142" s="143">
        <f>+I142/F142</f>
        <v>0.49424222650777427</v>
      </c>
      <c r="K142" s="315">
        <f>+mei!M142</f>
        <v>8637860802</v>
      </c>
      <c r="L142" s="80">
        <f>21862058+679029660+20629678+21862058+838738007+7800000+678717020+20326038+7500000+813162310+21464543</f>
        <v>3131091372</v>
      </c>
      <c r="M142" s="315">
        <f>+K142+L142</f>
        <v>11768952174</v>
      </c>
      <c r="N142" s="171">
        <f>+M142/D142</f>
        <v>0.49424222650777427</v>
      </c>
      <c r="O142" s="15">
        <f>+F142-M142</f>
        <v>12043161690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+mei!I144</f>
        <v>11451500</v>
      </c>
      <c r="H144" s="79">
        <v>4350000</v>
      </c>
      <c r="I144" s="15">
        <f>+G144+H144</f>
        <v>15801500</v>
      </c>
      <c r="J144" s="143">
        <f>+I144/F144</f>
        <v>0.35548931383577054</v>
      </c>
      <c r="K144" s="80">
        <f>+mei!M144</f>
        <v>11451500</v>
      </c>
      <c r="L144" s="80">
        <v>4350000</v>
      </c>
      <c r="M144" s="80">
        <f>+K144+L144</f>
        <v>15801500</v>
      </c>
      <c r="N144" s="171">
        <f>+M144/D144</f>
        <v>0.35548931383577054</v>
      </c>
      <c r="O144" s="15">
        <f>+F144-M144</f>
        <v>28648500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+mei!I146</f>
        <v>3254600</v>
      </c>
      <c r="H146" s="79">
        <v>2300000</v>
      </c>
      <c r="I146" s="15">
        <f>+G146+H146</f>
        <v>5554600</v>
      </c>
      <c r="J146" s="143">
        <f>+I146/F146</f>
        <v>0.44154213036565976</v>
      </c>
      <c r="K146" s="80">
        <f>+mei!M146</f>
        <v>3242900</v>
      </c>
      <c r="L146" s="80">
        <v>2300000</v>
      </c>
      <c r="M146" s="80">
        <f>+K146+L146</f>
        <v>5542900</v>
      </c>
      <c r="N146" s="171">
        <f>+M146/D146</f>
        <v>0.44061208267090618</v>
      </c>
      <c r="O146" s="15">
        <f>+F146-M146</f>
        <v>7037100</v>
      </c>
      <c r="P146" s="83"/>
      <c r="Q146" s="6" t="str">
        <f t="shared" ref="Q146" si="80">IF(M146&lt;=I146,"OKE","Salah")</f>
        <v>OKE</v>
      </c>
      <c r="R146" s="6"/>
    </row>
    <row r="147" spans="1:19" ht="17.100000000000001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8652566902</v>
      </c>
      <c r="H147" s="141">
        <f>SUM(H142:H146)</f>
        <v>3137741372</v>
      </c>
      <c r="I147" s="313">
        <f>+G147+H147</f>
        <v>11790308274</v>
      </c>
      <c r="J147" s="247"/>
      <c r="K147" s="313">
        <f>SUM(K142:K146)</f>
        <v>8652555202</v>
      </c>
      <c r="L147" s="141">
        <f>SUM(L142:L146)</f>
        <v>3137741372</v>
      </c>
      <c r="M147" s="353">
        <f>+K147+L147</f>
        <v>11790296574</v>
      </c>
      <c r="N147" s="173">
        <f>+M147/D147</f>
        <v>0.49395557047114708</v>
      </c>
      <c r="O147" s="141">
        <f>+F147-M147</f>
        <v>12078847290</v>
      </c>
      <c r="P147" s="83"/>
      <c r="Q147" s="6"/>
      <c r="R147" s="6"/>
    </row>
    <row r="148" spans="1:19" ht="17.100000000000001" customHeight="1" x14ac:dyDescent="0.2">
      <c r="A148" s="74"/>
      <c r="B148" s="214" t="s">
        <v>199</v>
      </c>
      <c r="C148" s="208" t="s">
        <v>198</v>
      </c>
      <c r="D148" s="178">
        <f>+D150</f>
        <v>144000000</v>
      </c>
      <c r="E148" s="14"/>
      <c r="F148" s="183">
        <f>E148+D148</f>
        <v>144000000</v>
      </c>
      <c r="G148" s="178">
        <f>+G150</f>
        <v>0</v>
      </c>
      <c r="H148" s="178">
        <f>+H150</f>
        <v>0</v>
      </c>
      <c r="I148" s="15">
        <f>+G148+H148</f>
        <v>0</v>
      </c>
      <c r="J148" s="143">
        <f>+I148/F148</f>
        <v>0</v>
      </c>
      <c r="K148" s="78"/>
      <c r="L148" s="80"/>
      <c r="M148" s="80">
        <f>+K148+L148</f>
        <v>0</v>
      </c>
      <c r="N148" s="171">
        <f>+M148/D148</f>
        <v>0</v>
      </c>
      <c r="O148" s="15">
        <f>+F148-M148</f>
        <v>144000000</v>
      </c>
      <c r="P148" s="83"/>
      <c r="Q148" s="6" t="str">
        <f t="shared" ref="Q148" si="82">IF(M148&lt;=I148,"OKE","Salah")</f>
        <v>OKE</v>
      </c>
      <c r="R148" s="6"/>
    </row>
    <row r="149" spans="1:19" ht="17.100000000000001" customHeight="1" x14ac:dyDescent="0.2">
      <c r="A149" s="74"/>
      <c r="B149" s="74"/>
      <c r="C149" s="76"/>
      <c r="D149" s="15"/>
      <c r="E149" s="15"/>
      <c r="F149" s="15"/>
      <c r="G149" s="80"/>
      <c r="H149" s="79"/>
      <c r="I149" s="80"/>
      <c r="J149" s="86"/>
      <c r="K149" s="80"/>
      <c r="L149" s="76"/>
      <c r="M149" s="76"/>
      <c r="N149" s="86"/>
      <c r="O149" s="10"/>
      <c r="P149" s="83"/>
      <c r="Q149" s="6"/>
      <c r="R149" s="6"/>
    </row>
    <row r="150" spans="1:19" ht="17.100000000000001" customHeight="1" x14ac:dyDescent="0.2">
      <c r="A150" s="74">
        <v>6</v>
      </c>
      <c r="B150" s="29" t="s">
        <v>201</v>
      </c>
      <c r="C150" s="27" t="s">
        <v>200</v>
      </c>
      <c r="D150" s="13">
        <v>144000000</v>
      </c>
      <c r="E150" s="14"/>
      <c r="F150" s="13">
        <f>E150+D150</f>
        <v>144000000</v>
      </c>
      <c r="G150" s="80">
        <f>+mei!I150</f>
        <v>0</v>
      </c>
      <c r="H150" s="79">
        <v>0</v>
      </c>
      <c r="I150" s="15">
        <f>+G150+H150</f>
        <v>0</v>
      </c>
      <c r="J150" s="143">
        <f>+I150/F150</f>
        <v>0</v>
      </c>
      <c r="K150" s="80">
        <f>+mei!M150</f>
        <v>0</v>
      </c>
      <c r="L150" s="80"/>
      <c r="M150" s="80">
        <f>+K150+L150</f>
        <v>0</v>
      </c>
      <c r="N150" s="171">
        <f>+M150/D150</f>
        <v>0</v>
      </c>
      <c r="O150" s="15">
        <f t="shared" ref="O150" si="83">+D150-M150</f>
        <v>144000000</v>
      </c>
      <c r="P150" s="83"/>
      <c r="Q150" s="6" t="str">
        <f t="shared" si="65"/>
        <v>OKE</v>
      </c>
      <c r="R150" s="6"/>
    </row>
    <row r="151" spans="1:19" ht="13.5" customHeight="1" x14ac:dyDescent="0.2">
      <c r="A151" s="74"/>
      <c r="B151" s="29"/>
      <c r="C151" s="27"/>
      <c r="D151" s="13"/>
      <c r="E151" s="14"/>
      <c r="F151" s="13"/>
      <c r="G151" s="78"/>
      <c r="H151" s="79"/>
      <c r="I151" s="15"/>
      <c r="J151" s="143"/>
      <c r="K151" s="78"/>
      <c r="L151" s="80"/>
      <c r="M151" s="80"/>
      <c r="N151" s="171"/>
      <c r="O151" s="15"/>
      <c r="P151" s="83"/>
      <c r="Q151" s="6"/>
      <c r="R151" s="6"/>
    </row>
    <row r="152" spans="1:19" ht="17.100000000000001" customHeight="1" x14ac:dyDescent="0.2">
      <c r="A152" s="139"/>
      <c r="B152" s="222"/>
      <c r="C152" s="223" t="s">
        <v>171</v>
      </c>
      <c r="D152" s="224">
        <f>+D150</f>
        <v>144000000</v>
      </c>
      <c r="E152" s="225"/>
      <c r="F152" s="224">
        <f>+F150</f>
        <v>144000000</v>
      </c>
      <c r="G152" s="224">
        <f>+G150</f>
        <v>0</v>
      </c>
      <c r="H152" s="224">
        <f>+H150</f>
        <v>0</v>
      </c>
      <c r="I152" s="141">
        <f>+G152+H152</f>
        <v>0</v>
      </c>
      <c r="J152" s="176">
        <f>+I152/F152</f>
        <v>0</v>
      </c>
      <c r="K152" s="234"/>
      <c r="L152" s="232"/>
      <c r="M152" s="232"/>
      <c r="N152" s="173"/>
      <c r="O152" s="141"/>
      <c r="P152" s="208"/>
      <c r="Q152" s="6"/>
      <c r="R152" s="6"/>
    </row>
    <row r="153" spans="1:19" ht="15.95" customHeight="1" x14ac:dyDescent="0.2">
      <c r="A153" s="74"/>
      <c r="B153" s="29"/>
      <c r="C153" s="25"/>
      <c r="D153" s="178"/>
      <c r="E153" s="221"/>
      <c r="F153" s="178"/>
      <c r="G153" s="178"/>
      <c r="H153" s="178"/>
      <c r="I153" s="10"/>
      <c r="J153" s="168"/>
      <c r="K153" s="194"/>
      <c r="L153" s="180"/>
      <c r="M153" s="180"/>
      <c r="N153" s="169"/>
      <c r="O153" s="10"/>
      <c r="P153" s="208"/>
      <c r="Q153" s="6"/>
      <c r="R153" s="6"/>
    </row>
    <row r="154" spans="1:19" ht="25.5" customHeight="1" x14ac:dyDescent="0.2">
      <c r="A154" s="74"/>
      <c r="B154" s="217" t="s">
        <v>202</v>
      </c>
      <c r="C154" s="216" t="s">
        <v>203</v>
      </c>
      <c r="D154" s="178">
        <f>+D156+D158</f>
        <v>155412000</v>
      </c>
      <c r="E154" s="221"/>
      <c r="F154" s="178">
        <f>D154</f>
        <v>155412000</v>
      </c>
      <c r="G154" s="178">
        <f t="shared" ref="G154:H154" si="84">+G156+G158</f>
        <v>0</v>
      </c>
      <c r="H154" s="178">
        <f t="shared" si="84"/>
        <v>0</v>
      </c>
      <c r="I154" s="10">
        <f>+G154+H154</f>
        <v>0</v>
      </c>
      <c r="J154" s="168">
        <f>+I154/F154</f>
        <v>0</v>
      </c>
      <c r="K154" s="78"/>
      <c r="L154" s="80"/>
      <c r="M154" s="80">
        <f>+K154+L154</f>
        <v>0</v>
      </c>
      <c r="N154" s="171">
        <f>+M154/D154</f>
        <v>0</v>
      </c>
      <c r="O154" s="15">
        <f>+F154-M154</f>
        <v>155412000</v>
      </c>
      <c r="P154" s="83"/>
      <c r="Q154" s="6" t="str">
        <f t="shared" ref="Q154" si="85">IF(M154&lt;=I154,"OKE","Salah")</f>
        <v>OKE</v>
      </c>
      <c r="R154" s="6"/>
    </row>
    <row r="155" spans="1:19" ht="12.75" customHeight="1" x14ac:dyDescent="0.2">
      <c r="A155" s="74"/>
      <c r="B155" s="29"/>
      <c r="C155" s="27"/>
      <c r="D155" s="13"/>
      <c r="E155" s="14"/>
      <c r="F155" s="13"/>
      <c r="G155" s="78"/>
      <c r="H155" s="79"/>
      <c r="I155" s="15"/>
      <c r="J155" s="143"/>
      <c r="K155" s="78"/>
      <c r="L155" s="80"/>
      <c r="M155" s="80"/>
      <c r="N155" s="171"/>
      <c r="O155" s="15"/>
      <c r="P155" s="83"/>
      <c r="Q155" s="6"/>
      <c r="R155" s="6"/>
    </row>
    <row r="156" spans="1:19" ht="24" customHeight="1" x14ac:dyDescent="0.2">
      <c r="A156" s="205">
        <v>7</v>
      </c>
      <c r="B156" s="220" t="s">
        <v>204</v>
      </c>
      <c r="C156" s="274" t="s">
        <v>205</v>
      </c>
      <c r="D156" s="13">
        <v>0</v>
      </c>
      <c r="E156" s="14"/>
      <c r="F156" s="13">
        <f>D156</f>
        <v>0</v>
      </c>
      <c r="G156" s="80">
        <f>+mei!I156</f>
        <v>0</v>
      </c>
      <c r="H156" s="79"/>
      <c r="I156" s="15">
        <f>+G156+H156</f>
        <v>0</v>
      </c>
      <c r="J156" s="143">
        <v>0</v>
      </c>
      <c r="K156" s="80">
        <f>+mei!M156</f>
        <v>0</v>
      </c>
      <c r="L156" s="80"/>
      <c r="M156" s="80">
        <f>+K156+L156</f>
        <v>0</v>
      </c>
      <c r="N156" s="171">
        <v>0</v>
      </c>
      <c r="O156" s="15">
        <f>+D156-M156</f>
        <v>0</v>
      </c>
      <c r="P156" s="83"/>
      <c r="Q156" s="6" t="str">
        <f t="shared" ref="Q156:Q176" si="86">IF(M156&lt;=I156,"OKE","Salah")</f>
        <v>OKE</v>
      </c>
      <c r="R156" s="6"/>
    </row>
    <row r="157" spans="1:19" ht="11.25" customHeight="1" x14ac:dyDescent="0.2">
      <c r="A157" s="74"/>
      <c r="B157" s="95"/>
      <c r="C157" s="27"/>
      <c r="D157" s="13"/>
      <c r="E157" s="14"/>
      <c r="F157" s="13"/>
      <c r="G157" s="78"/>
      <c r="H157" s="79"/>
      <c r="I157" s="15"/>
      <c r="J157" s="143"/>
      <c r="K157" s="78"/>
      <c r="L157" s="80"/>
      <c r="M157" s="80"/>
      <c r="N157" s="171"/>
      <c r="O157" s="15"/>
      <c r="P157" s="83"/>
      <c r="Q157" s="6"/>
      <c r="R157" s="6"/>
    </row>
    <row r="158" spans="1:19" ht="28.5" customHeight="1" x14ac:dyDescent="0.2">
      <c r="A158" s="74">
        <v>8</v>
      </c>
      <c r="B158" s="95" t="s">
        <v>206</v>
      </c>
      <c r="C158" s="219" t="s">
        <v>207</v>
      </c>
      <c r="D158" s="13">
        <v>155412000</v>
      </c>
      <c r="E158" s="14"/>
      <c r="F158" s="13">
        <f>D158</f>
        <v>155412000</v>
      </c>
      <c r="G158" s="80">
        <f>+mei!I158</f>
        <v>0</v>
      </c>
      <c r="H158" s="79"/>
      <c r="I158" s="15">
        <f>+G158+H158</f>
        <v>0</v>
      </c>
      <c r="J158" s="143">
        <f>+I158/F158</f>
        <v>0</v>
      </c>
      <c r="K158" s="80">
        <f>+mei!M158</f>
        <v>0</v>
      </c>
      <c r="L158" s="80"/>
      <c r="M158" s="80">
        <f>+K158+L158</f>
        <v>0</v>
      </c>
      <c r="N158" s="171">
        <f>+M158/D158</f>
        <v>0</v>
      </c>
      <c r="O158" s="15">
        <f>+F158-M158</f>
        <v>155412000</v>
      </c>
      <c r="P158" s="83"/>
      <c r="Q158" s="6" t="str">
        <f t="shared" ref="Q158" si="87">IF(M158&lt;=I158,"OKE","Salah")</f>
        <v>OKE</v>
      </c>
      <c r="R158" s="6"/>
    </row>
    <row r="159" spans="1:19" ht="15" customHeight="1" x14ac:dyDescent="0.2">
      <c r="A159" s="74"/>
      <c r="B159" s="95"/>
      <c r="C159" s="27"/>
      <c r="D159" s="13"/>
      <c r="E159" s="14"/>
      <c r="F159" s="13"/>
      <c r="G159" s="78"/>
      <c r="H159" s="79"/>
      <c r="I159" s="15"/>
      <c r="J159" s="143"/>
      <c r="K159" s="78"/>
      <c r="L159" s="80"/>
      <c r="M159" s="80"/>
      <c r="N159" s="171"/>
      <c r="O159" s="15"/>
      <c r="P159" s="83"/>
      <c r="Q159" s="6"/>
      <c r="R159" s="6"/>
    </row>
    <row r="160" spans="1:19" ht="17.100000000000001" customHeight="1" x14ac:dyDescent="0.2">
      <c r="A160" s="226"/>
      <c r="B160" s="227"/>
      <c r="C160" s="223" t="s">
        <v>171</v>
      </c>
      <c r="D160" s="224">
        <f>+D156+D158</f>
        <v>155412000</v>
      </c>
      <c r="E160" s="224">
        <f t="shared" ref="E160:H160" si="88">+E156+E158</f>
        <v>0</v>
      </c>
      <c r="F160" s="224">
        <f t="shared" si="88"/>
        <v>155412000</v>
      </c>
      <c r="G160" s="224">
        <f t="shared" si="88"/>
        <v>0</v>
      </c>
      <c r="H160" s="224">
        <f t="shared" si="88"/>
        <v>0</v>
      </c>
      <c r="I160" s="141">
        <f>+G160+H160</f>
        <v>0</v>
      </c>
      <c r="J160" s="176">
        <f>+I160/F160</f>
        <v>0</v>
      </c>
      <c r="K160" s="224">
        <f t="shared" ref="K160:L160" si="89">+K156+K158</f>
        <v>0</v>
      </c>
      <c r="L160" s="224">
        <f t="shared" si="89"/>
        <v>0</v>
      </c>
      <c r="M160" s="232"/>
      <c r="N160" s="173"/>
      <c r="O160" s="141"/>
      <c r="P160" s="208"/>
      <c r="Q160" s="6"/>
      <c r="R160" s="6"/>
    </row>
    <row r="161" spans="1:18" ht="14.1" customHeight="1" x14ac:dyDescent="0.2">
      <c r="A161" s="212"/>
      <c r="B161" s="218"/>
      <c r="C161" s="25"/>
      <c r="D161" s="178"/>
      <c r="E161" s="221"/>
      <c r="F161" s="317"/>
      <c r="G161" s="178"/>
      <c r="H161" s="178"/>
      <c r="I161" s="10"/>
      <c r="J161" s="168"/>
      <c r="K161" s="194"/>
      <c r="L161" s="180"/>
      <c r="M161" s="180"/>
      <c r="N161" s="169"/>
      <c r="O161" s="10"/>
      <c r="P161" s="208"/>
      <c r="Q161" s="6"/>
      <c r="R161" s="6"/>
    </row>
    <row r="162" spans="1:18" ht="14.1" customHeight="1" x14ac:dyDescent="0.2">
      <c r="A162" s="212"/>
      <c r="B162" s="218"/>
      <c r="C162" s="25" t="s">
        <v>313</v>
      </c>
      <c r="D162" s="178">
        <f>+D164</f>
        <v>1621482000</v>
      </c>
      <c r="E162" s="221"/>
      <c r="F162" s="178">
        <f>+D162+E162</f>
        <v>1621482000</v>
      </c>
      <c r="G162" s="178">
        <f t="shared" ref="G162:H162" si="90">+G164</f>
        <v>432554884</v>
      </c>
      <c r="H162" s="178">
        <f t="shared" si="90"/>
        <v>107851193</v>
      </c>
      <c r="I162" s="10">
        <f>+G162+H162</f>
        <v>540406077</v>
      </c>
      <c r="J162" s="168">
        <f>+I162/F162</f>
        <v>0.33327910948132633</v>
      </c>
      <c r="K162" s="178">
        <f t="shared" ref="K162:L162" si="91">+K164</f>
        <v>432554884</v>
      </c>
      <c r="L162" s="178">
        <f t="shared" si="91"/>
        <v>107851193</v>
      </c>
      <c r="M162" s="180">
        <f>+K162+L162</f>
        <v>540406077</v>
      </c>
      <c r="N162" s="169">
        <f>+M162/D162</f>
        <v>0.33327910948132633</v>
      </c>
      <c r="O162" s="10">
        <f>+F162-M162</f>
        <v>1081075923</v>
      </c>
      <c r="P162" s="208"/>
      <c r="Q162" s="6" t="str">
        <f t="shared" ref="Q162" si="92">IF(M162&lt;=I162,"OKE","Salah")</f>
        <v>OKE</v>
      </c>
      <c r="R162" s="6"/>
    </row>
    <row r="163" spans="1:18" ht="14.1" customHeight="1" x14ac:dyDescent="0.2">
      <c r="A163" s="212"/>
      <c r="B163" s="218"/>
      <c r="C163" s="25"/>
      <c r="D163" s="178"/>
      <c r="E163" s="221"/>
      <c r="F163" s="178"/>
      <c r="G163" s="178"/>
      <c r="H163" s="178"/>
      <c r="I163" s="10"/>
      <c r="J163" s="168"/>
      <c r="K163" s="194"/>
      <c r="L163" s="180"/>
      <c r="M163" s="180"/>
      <c r="N163" s="169"/>
      <c r="O163" s="10"/>
      <c r="P163" s="208"/>
      <c r="Q163" s="6"/>
      <c r="R163" s="6"/>
    </row>
    <row r="164" spans="1:18" ht="14.1" customHeight="1" x14ac:dyDescent="0.2">
      <c r="A164" s="212"/>
      <c r="B164" s="218"/>
      <c r="C164" s="219" t="s">
        <v>314</v>
      </c>
      <c r="D164" s="13">
        <v>1621482000</v>
      </c>
      <c r="E164" s="14"/>
      <c r="F164" s="13">
        <f>D164</f>
        <v>1621482000</v>
      </c>
      <c r="G164" s="80">
        <f>+mei!I164</f>
        <v>432554884</v>
      </c>
      <c r="H164" s="79">
        <f>56553184+4598328+749681+45950000</f>
        <v>107851193</v>
      </c>
      <c r="I164" s="15">
        <f>+G164+H164</f>
        <v>540406077</v>
      </c>
      <c r="J164" s="143">
        <f>+I164/F164</f>
        <v>0.33327910948132633</v>
      </c>
      <c r="K164" s="80">
        <f>+mei!M164</f>
        <v>432554884</v>
      </c>
      <c r="L164" s="80">
        <f>56553184+4598328+749681+45950000</f>
        <v>107851193</v>
      </c>
      <c r="M164" s="80">
        <f>+K164+L164</f>
        <v>540406077</v>
      </c>
      <c r="N164" s="171">
        <f>+M164/D164</f>
        <v>0.33327910948132633</v>
      </c>
      <c r="O164" s="15">
        <f>+F164-M164</f>
        <v>1081075923</v>
      </c>
      <c r="P164" s="83"/>
      <c r="Q164" s="6" t="str">
        <f t="shared" ref="Q164:Q166" si="93">IF(M164&lt;=I164,"OKE","Salah")</f>
        <v>OKE</v>
      </c>
      <c r="R164" s="6"/>
    </row>
    <row r="165" spans="1:18" ht="14.1" customHeight="1" x14ac:dyDescent="0.2">
      <c r="A165" s="212"/>
      <c r="B165" s="218"/>
      <c r="C165" s="25"/>
      <c r="D165" s="178"/>
      <c r="E165" s="221"/>
      <c r="F165" s="178"/>
      <c r="G165" s="178"/>
      <c r="H165" s="178"/>
      <c r="I165" s="10"/>
      <c r="J165" s="168"/>
      <c r="K165" s="194"/>
      <c r="L165" s="180"/>
      <c r="M165" s="180"/>
      <c r="N165" s="169"/>
      <c r="O165" s="10"/>
      <c r="P165" s="208"/>
      <c r="Q165" s="6"/>
      <c r="R165" s="6"/>
    </row>
    <row r="166" spans="1:18" ht="14.1" customHeight="1" x14ac:dyDescent="0.2">
      <c r="A166" s="226"/>
      <c r="B166" s="227"/>
      <c r="C166" s="223" t="s">
        <v>171</v>
      </c>
      <c r="D166" s="224">
        <f>+D164</f>
        <v>1621482000</v>
      </c>
      <c r="E166" s="224">
        <f t="shared" ref="E166:F166" si="94">+E164</f>
        <v>0</v>
      </c>
      <c r="F166" s="224">
        <f t="shared" si="94"/>
        <v>1621482000</v>
      </c>
      <c r="G166" s="224">
        <f>+G164</f>
        <v>432554884</v>
      </c>
      <c r="H166" s="224">
        <f>+H164</f>
        <v>107851193</v>
      </c>
      <c r="I166" s="141">
        <f>+G166+H166</f>
        <v>540406077</v>
      </c>
      <c r="J166" s="176">
        <f>+I166/F166</f>
        <v>0.33327910948132633</v>
      </c>
      <c r="K166" s="224">
        <f t="shared" ref="K166:L166" si="95">+K164</f>
        <v>432554884</v>
      </c>
      <c r="L166" s="224">
        <f t="shared" si="95"/>
        <v>107851193</v>
      </c>
      <c r="M166" s="232">
        <f>+K166+L166</f>
        <v>540406077</v>
      </c>
      <c r="N166" s="173">
        <f>+M166/D166</f>
        <v>0.33327910948132633</v>
      </c>
      <c r="O166" s="141">
        <f>+F166-M166</f>
        <v>1081075923</v>
      </c>
      <c r="P166" s="208"/>
      <c r="Q166" s="6" t="str">
        <f t="shared" si="93"/>
        <v>OKE</v>
      </c>
      <c r="R166" s="6"/>
    </row>
    <row r="167" spans="1:18" ht="14.1" customHeight="1" x14ac:dyDescent="0.2">
      <c r="A167" s="212"/>
      <c r="B167" s="218"/>
      <c r="C167" s="25"/>
      <c r="D167" s="178"/>
      <c r="E167" s="221"/>
      <c r="F167" s="178"/>
      <c r="G167" s="178"/>
      <c r="H167" s="178"/>
      <c r="I167" s="10"/>
      <c r="J167" s="168"/>
      <c r="K167" s="194"/>
      <c r="L167" s="180"/>
      <c r="M167" s="180"/>
      <c r="N167" s="169"/>
      <c r="O167" s="10"/>
      <c r="P167" s="208"/>
      <c r="Q167" s="6"/>
      <c r="R167" s="6"/>
    </row>
    <row r="168" spans="1:18" ht="14.1" customHeight="1" x14ac:dyDescent="0.2">
      <c r="A168" s="74"/>
      <c r="B168" s="74"/>
      <c r="C168" s="9"/>
      <c r="D168" s="10"/>
      <c r="E168" s="10"/>
      <c r="F168" s="10"/>
      <c r="G168" s="10"/>
      <c r="H168" s="10"/>
      <c r="I168" s="10"/>
      <c r="J168" s="168"/>
      <c r="K168" s="10"/>
      <c r="L168" s="10"/>
      <c r="M168" s="10"/>
      <c r="N168" s="169"/>
      <c r="O168" s="10"/>
      <c r="P168" s="83"/>
      <c r="Q168" s="6"/>
      <c r="R168" s="6"/>
    </row>
    <row r="169" spans="1:18" ht="14.1" customHeight="1" x14ac:dyDescent="0.2">
      <c r="A169" s="74"/>
      <c r="B169" s="214" t="s">
        <v>304</v>
      </c>
      <c r="C169" s="208" t="s">
        <v>277</v>
      </c>
      <c r="D169" s="178">
        <f>+D171</f>
        <v>176581229</v>
      </c>
      <c r="E169" s="14"/>
      <c r="F169" s="13">
        <f>E169+D169</f>
        <v>176581229</v>
      </c>
      <c r="G169" s="80">
        <f>+maret!I169</f>
        <v>0</v>
      </c>
      <c r="H169" s="178">
        <f>+H171+H174</f>
        <v>0</v>
      </c>
      <c r="I169" s="10">
        <f>+G169+H169</f>
        <v>0</v>
      </c>
      <c r="J169" s="168">
        <f>+I169/F169</f>
        <v>0</v>
      </c>
      <c r="K169" s="178">
        <f>+K171+K174</f>
        <v>0</v>
      </c>
      <c r="L169" s="178">
        <f>+L171+L174</f>
        <v>0</v>
      </c>
      <c r="M169" s="180">
        <f>+K169+L169</f>
        <v>0</v>
      </c>
      <c r="N169" s="169">
        <f>+M169/D169</f>
        <v>0</v>
      </c>
      <c r="O169" s="10">
        <f>+F169-M169</f>
        <v>176581229</v>
      </c>
      <c r="P169" s="83"/>
      <c r="Q169" s="6" t="str">
        <f t="shared" ref="Q169" si="96">IF(M169&lt;=I169,"OKE","Salah")</f>
        <v>OKE</v>
      </c>
      <c r="R169" s="6"/>
    </row>
    <row r="170" spans="1:18" ht="15" customHeight="1" x14ac:dyDescent="0.2">
      <c r="A170" s="74"/>
      <c r="B170" s="74"/>
      <c r="C170" s="76"/>
      <c r="D170" s="15"/>
      <c r="E170" s="15"/>
      <c r="F170" s="15"/>
      <c r="G170" s="80"/>
      <c r="H170" s="79"/>
      <c r="I170" s="80"/>
      <c r="J170" s="86"/>
      <c r="K170" s="80"/>
      <c r="L170" s="76"/>
      <c r="M170" s="76"/>
      <c r="N170" s="86"/>
      <c r="O170" s="10"/>
      <c r="P170" s="83"/>
      <c r="Q170" s="6"/>
      <c r="R170" s="6"/>
    </row>
    <row r="171" spans="1:18" ht="18.75" customHeight="1" x14ac:dyDescent="0.2">
      <c r="A171" s="74">
        <v>12</v>
      </c>
      <c r="B171" s="29" t="s">
        <v>303</v>
      </c>
      <c r="C171" s="27" t="s">
        <v>278</v>
      </c>
      <c r="D171" s="13">
        <v>176581229</v>
      </c>
      <c r="E171" s="14"/>
      <c r="F171" s="13">
        <f>E171+D171</f>
        <v>176581229</v>
      </c>
      <c r="G171" s="80">
        <f>+mei!I171</f>
        <v>0</v>
      </c>
      <c r="H171" s="79">
        <v>0</v>
      </c>
      <c r="I171" s="15">
        <f>+G171+H171</f>
        <v>0</v>
      </c>
      <c r="J171" s="143">
        <f>+I171/F171</f>
        <v>0</v>
      </c>
      <c r="K171" s="80">
        <f>+mei!M171</f>
        <v>0</v>
      </c>
      <c r="L171" s="80">
        <v>0</v>
      </c>
      <c r="M171" s="80">
        <f>+K171+L171</f>
        <v>0</v>
      </c>
      <c r="N171" s="171">
        <f>+M171/D171</f>
        <v>0</v>
      </c>
      <c r="O171" s="15">
        <f>+F171-M171</f>
        <v>176581229</v>
      </c>
      <c r="P171" s="83"/>
      <c r="Q171" s="6" t="str">
        <f t="shared" ref="Q171" si="97">IF(M171&lt;=I171,"OKE","Salah")</f>
        <v>OKE</v>
      </c>
      <c r="R171" s="6"/>
    </row>
    <row r="172" spans="1:18" ht="13.5" customHeight="1" x14ac:dyDescent="0.2">
      <c r="A172" s="74"/>
      <c r="B172" s="29"/>
      <c r="C172" s="27"/>
      <c r="D172" s="13"/>
      <c r="E172" s="14"/>
      <c r="F172" s="13"/>
      <c r="G172" s="78"/>
      <c r="H172" s="79"/>
      <c r="I172" s="15"/>
      <c r="J172" s="143"/>
      <c r="K172" s="78"/>
      <c r="L172" s="80"/>
      <c r="M172" s="80"/>
      <c r="N172" s="171"/>
      <c r="O172" s="15"/>
      <c r="P172" s="83"/>
      <c r="Q172" s="6"/>
      <c r="R172" s="6"/>
    </row>
    <row r="173" spans="1:18" ht="18.75" customHeight="1" x14ac:dyDescent="0.2">
      <c r="A173" s="139"/>
      <c r="B173" s="222"/>
      <c r="C173" s="223" t="s">
        <v>171</v>
      </c>
      <c r="D173" s="224">
        <f>+D171</f>
        <v>176581229</v>
      </c>
      <c r="E173" s="224">
        <f>+E171</f>
        <v>0</v>
      </c>
      <c r="F173" s="224">
        <f>+F171</f>
        <v>176581229</v>
      </c>
      <c r="G173" s="224">
        <f>+G171</f>
        <v>0</v>
      </c>
      <c r="H173" s="224">
        <f>+H171</f>
        <v>0</v>
      </c>
      <c r="I173" s="141">
        <f>+G173+H173</f>
        <v>0</v>
      </c>
      <c r="J173" s="176">
        <f>+I173/F173</f>
        <v>0</v>
      </c>
      <c r="K173" s="224">
        <f>+K171</f>
        <v>0</v>
      </c>
      <c r="L173" s="224">
        <f>+L171</f>
        <v>0</v>
      </c>
      <c r="M173" s="232">
        <f>+K173+L173</f>
        <v>0</v>
      </c>
      <c r="N173" s="173">
        <f>+M173/D173</f>
        <v>0</v>
      </c>
      <c r="O173" s="141">
        <f>+F173-M173</f>
        <v>176581229</v>
      </c>
      <c r="P173" s="208"/>
      <c r="Q173" s="6" t="str">
        <f t="shared" ref="Q173" si="98">IF(M173&lt;=I173,"OKE","Salah")</f>
        <v>OKE</v>
      </c>
      <c r="R173" s="6"/>
    </row>
    <row r="174" spans="1:18" ht="14.1" customHeight="1" x14ac:dyDescent="0.2">
      <c r="A174" s="81"/>
      <c r="B174" s="81"/>
      <c r="C174" s="251"/>
      <c r="D174" s="32"/>
      <c r="E174" s="32"/>
      <c r="F174" s="32"/>
      <c r="G174" s="252"/>
      <c r="H174" s="253"/>
      <c r="I174" s="252"/>
      <c r="J174" s="254"/>
      <c r="K174" s="252"/>
      <c r="L174" s="251"/>
      <c r="M174" s="251"/>
      <c r="N174" s="86"/>
      <c r="O174" s="76"/>
      <c r="P174" s="83"/>
      <c r="Q174" s="6"/>
      <c r="R174" s="6"/>
    </row>
    <row r="175" spans="1:18" ht="14.1" customHeight="1" x14ac:dyDescent="0.2">
      <c r="A175" s="388"/>
      <c r="B175" s="388"/>
      <c r="C175" s="395" t="s">
        <v>137</v>
      </c>
      <c r="D175" s="364">
        <f>+D139+D147+D152+D160+D166+D173</f>
        <v>25992643593</v>
      </c>
      <c r="E175" s="364">
        <v>0</v>
      </c>
      <c r="F175" s="364">
        <f>+D175+E175</f>
        <v>25992643593</v>
      </c>
      <c r="G175" s="455">
        <f>+G139+G147+G152+G160+G166+G173</f>
        <v>9092500786</v>
      </c>
      <c r="H175" s="364">
        <f>+H139+H147+H152+H160+H166+H173</f>
        <v>3245592565</v>
      </c>
      <c r="I175" s="455">
        <f>+I139+I147+I152+I160+I166+I173</f>
        <v>12338093351</v>
      </c>
      <c r="J175" s="398">
        <f>+I175/F175</f>
        <v>0.47467635628731258</v>
      </c>
      <c r="K175" s="455">
        <f>+K139+K147+K152+K160+K173+K166</f>
        <v>9092489086</v>
      </c>
      <c r="L175" s="364">
        <f>+L139+L147+L152+L160+L166+L173</f>
        <v>3245592565</v>
      </c>
      <c r="M175" s="455">
        <f>+K175+L175</f>
        <v>12338081651</v>
      </c>
      <c r="N175" s="405">
        <f>+M175/F175</f>
        <v>0.47467590615995409</v>
      </c>
      <c r="O175" s="402">
        <f>+F175-M175</f>
        <v>13654561942</v>
      </c>
      <c r="P175" s="83"/>
      <c r="Q175" s="6" t="str">
        <f t="shared" si="86"/>
        <v>OKE</v>
      </c>
      <c r="R175" s="6"/>
    </row>
    <row r="176" spans="1:18" ht="14.1" customHeight="1" x14ac:dyDescent="0.2">
      <c r="A176" s="389"/>
      <c r="B176" s="389"/>
      <c r="C176" s="396"/>
      <c r="D176" s="396"/>
      <c r="E176" s="396"/>
      <c r="F176" s="396"/>
      <c r="G176" s="456"/>
      <c r="H176" s="396"/>
      <c r="I176" s="456"/>
      <c r="J176" s="404"/>
      <c r="K176" s="456"/>
      <c r="L176" s="396"/>
      <c r="M176" s="464"/>
      <c r="N176" s="406"/>
      <c r="O176" s="403"/>
      <c r="P176" s="83"/>
      <c r="Q176" s="6" t="str">
        <f t="shared" si="86"/>
        <v>OKE</v>
      </c>
      <c r="R176" s="6"/>
    </row>
    <row r="177" spans="1:18" ht="15" customHeight="1" x14ac:dyDescent="0.2">
      <c r="A177" s="74"/>
      <c r="B177" s="74"/>
      <c r="C177" s="76"/>
      <c r="D177" s="15"/>
      <c r="E177" s="15"/>
      <c r="F177" s="15"/>
      <c r="G177" s="80"/>
      <c r="H177" s="79"/>
      <c r="I177" s="80"/>
      <c r="J177" s="86"/>
      <c r="K177" s="80"/>
      <c r="L177" s="76"/>
      <c r="M177" s="76"/>
      <c r="N177" s="86"/>
      <c r="O177" s="10"/>
      <c r="P177" s="83"/>
      <c r="Q177" s="6"/>
      <c r="R177" s="6"/>
    </row>
    <row r="178" spans="1:18" ht="15" customHeight="1" x14ac:dyDescent="0.2">
      <c r="A178" s="74"/>
      <c r="B178" s="74"/>
      <c r="C178" s="244" t="s">
        <v>70</v>
      </c>
      <c r="D178" s="15"/>
      <c r="E178" s="15"/>
      <c r="F178" s="15"/>
      <c r="G178" s="80"/>
      <c r="H178" s="79"/>
      <c r="I178" s="80"/>
      <c r="J178" s="86"/>
      <c r="K178" s="80"/>
      <c r="L178" s="76"/>
      <c r="M178" s="76"/>
      <c r="N178" s="86"/>
      <c r="O178" s="10"/>
      <c r="P178" s="83"/>
      <c r="Q178" s="6"/>
      <c r="R178" s="6"/>
    </row>
    <row r="179" spans="1:18" ht="14.1" customHeight="1" x14ac:dyDescent="0.2">
      <c r="A179" s="74"/>
      <c r="B179" s="74"/>
      <c r="C179" s="76"/>
      <c r="D179" s="15"/>
      <c r="E179" s="15"/>
      <c r="F179" s="15"/>
      <c r="G179" s="80"/>
      <c r="H179" s="79"/>
      <c r="I179" s="80"/>
      <c r="J179" s="86"/>
      <c r="K179" s="80"/>
      <c r="L179" s="76"/>
      <c r="M179" s="76"/>
      <c r="N179" s="86"/>
      <c r="O179" s="10"/>
      <c r="P179" s="77"/>
      <c r="Q179" s="6"/>
      <c r="R179" s="6"/>
    </row>
    <row r="180" spans="1:18" ht="24.75" customHeight="1" x14ac:dyDescent="0.2">
      <c r="A180" s="7"/>
      <c r="B180" s="206" t="s">
        <v>154</v>
      </c>
      <c r="C180" s="201" t="s">
        <v>153</v>
      </c>
      <c r="D180" s="10">
        <f>+D182</f>
        <v>1189109400</v>
      </c>
      <c r="E180" s="10">
        <f t="shared" ref="E180:H180" si="99">+E182</f>
        <v>0</v>
      </c>
      <c r="F180" s="10">
        <f t="shared" si="99"/>
        <v>1189109400</v>
      </c>
      <c r="G180" s="10">
        <f t="shared" si="99"/>
        <v>305415820</v>
      </c>
      <c r="H180" s="10">
        <f t="shared" si="99"/>
        <v>135661500</v>
      </c>
      <c r="I180" s="10">
        <f>+G180+H180</f>
        <v>441077320</v>
      </c>
      <c r="J180" s="168">
        <f>+I180/F180</f>
        <v>0.37093081595351951</v>
      </c>
      <c r="K180" s="10">
        <f t="shared" ref="K180:L180" si="100">+K182</f>
        <v>305405820</v>
      </c>
      <c r="L180" s="10">
        <f t="shared" si="100"/>
        <v>135661500</v>
      </c>
      <c r="M180" s="10">
        <f>+K180+L180</f>
        <v>441067320</v>
      </c>
      <c r="N180" s="169">
        <f>+M180/F180</f>
        <v>0.37092240629836076</v>
      </c>
      <c r="O180" s="10">
        <f>+F180-M180</f>
        <v>748042080</v>
      </c>
      <c r="P180" s="77"/>
      <c r="Q180" s="6" t="str">
        <f t="shared" ref="Q180" si="101">IF(M180&lt;=I180,"OKE","Salah")</f>
        <v>OKE</v>
      </c>
      <c r="R180" s="6"/>
    </row>
    <row r="181" spans="1:18" ht="14.1" customHeight="1" x14ac:dyDescent="0.2">
      <c r="A181" s="74"/>
      <c r="B181" s="74"/>
      <c r="C181" s="76"/>
      <c r="D181" s="15"/>
      <c r="E181" s="15"/>
      <c r="F181" s="15"/>
      <c r="G181" s="80"/>
      <c r="H181" s="79"/>
      <c r="I181" s="80"/>
      <c r="J181" s="86"/>
      <c r="K181" s="80"/>
      <c r="L181" s="76"/>
      <c r="M181" s="76"/>
      <c r="N181" s="86"/>
      <c r="O181" s="10"/>
      <c r="P181" s="77"/>
      <c r="Q181" s="6"/>
      <c r="R181" s="6"/>
    </row>
    <row r="182" spans="1:18" ht="18" customHeight="1" x14ac:dyDescent="0.2">
      <c r="A182" s="74"/>
      <c r="B182" s="95" t="s">
        <v>212</v>
      </c>
      <c r="C182" s="25" t="s">
        <v>213</v>
      </c>
      <c r="D182" s="178">
        <f>SUM(D184:D190)</f>
        <v>1189109400</v>
      </c>
      <c r="E182" s="14"/>
      <c r="F182" s="178">
        <f>E182+D182</f>
        <v>1189109400</v>
      </c>
      <c r="G182" s="178">
        <f>SUM(G184:G190)</f>
        <v>305415820</v>
      </c>
      <c r="H182" s="178">
        <f>SUM(H184:H190)</f>
        <v>135661500</v>
      </c>
      <c r="I182" s="10">
        <f>H182+G182</f>
        <v>441077320</v>
      </c>
      <c r="J182" s="168">
        <f>+I182/F182</f>
        <v>0.37093081595351951</v>
      </c>
      <c r="K182" s="178">
        <f>SUM(K184:K190)</f>
        <v>305405820</v>
      </c>
      <c r="L182" s="178">
        <f>SUM(L184:L190)</f>
        <v>135661500</v>
      </c>
      <c r="M182" s="180">
        <f>+K182+L182</f>
        <v>441067320</v>
      </c>
      <c r="N182" s="169">
        <f>+M182/F182</f>
        <v>0.37092240629836076</v>
      </c>
      <c r="O182" s="10">
        <f>+F182-M182</f>
        <v>748042080</v>
      </c>
      <c r="P182" s="77"/>
      <c r="Q182" s="6" t="str">
        <f t="shared" ref="Q182" si="102">IF(M182&lt;=I182,"OKE","Salah")</f>
        <v>OKE</v>
      </c>
      <c r="R182" s="6"/>
    </row>
    <row r="183" spans="1:18" ht="15.75" customHeight="1" x14ac:dyDescent="0.2">
      <c r="A183" s="74"/>
      <c r="B183" s="95"/>
      <c r="C183" s="27"/>
      <c r="D183" s="13"/>
      <c r="E183" s="14"/>
      <c r="F183" s="13"/>
      <c r="G183" s="78"/>
      <c r="H183" s="79"/>
      <c r="I183" s="15"/>
      <c r="J183" s="143"/>
      <c r="K183" s="80"/>
      <c r="L183" s="80"/>
      <c r="M183" s="80"/>
      <c r="N183" s="171"/>
      <c r="O183" s="15"/>
      <c r="P183" s="77"/>
      <c r="Q183" s="6"/>
      <c r="R183" s="6"/>
    </row>
    <row r="184" spans="1:18" ht="14.1" customHeight="1" x14ac:dyDescent="0.2">
      <c r="A184" s="74">
        <v>1</v>
      </c>
      <c r="B184" s="95" t="s">
        <v>215</v>
      </c>
      <c r="C184" s="27" t="s">
        <v>214</v>
      </c>
      <c r="D184" s="13">
        <v>206216100</v>
      </c>
      <c r="E184" s="14"/>
      <c r="F184" s="13">
        <f>E184+D184</f>
        <v>206216100</v>
      </c>
      <c r="G184" s="80">
        <f>+mei!I184</f>
        <v>66825520</v>
      </c>
      <c r="H184" s="79">
        <f>2000000+6800000+9100000+4830000+9020000</f>
        <v>31750000</v>
      </c>
      <c r="I184" s="15">
        <f>H184+G184</f>
        <v>98575520</v>
      </c>
      <c r="J184" s="143">
        <f>+I184/F184</f>
        <v>0.47802048433657701</v>
      </c>
      <c r="K184" s="80">
        <f>+mei!M184</f>
        <v>66825520</v>
      </c>
      <c r="L184" s="79">
        <f>2000000+6800000+9100000+4830000+9020000</f>
        <v>31750000</v>
      </c>
      <c r="M184" s="80">
        <f>+K184+L184</f>
        <v>98575520</v>
      </c>
      <c r="N184" s="171">
        <f>+M184/F184</f>
        <v>0.47802048433657701</v>
      </c>
      <c r="O184" s="15">
        <f>+F184-M184</f>
        <v>107640580</v>
      </c>
      <c r="P184" s="77"/>
      <c r="Q184" s="6" t="str">
        <f t="shared" ref="Q184" si="103">IF(M184&lt;=I184,"OKE","Salah")</f>
        <v>OKE</v>
      </c>
      <c r="R184" s="6"/>
    </row>
    <row r="185" spans="1:18" ht="15.75" customHeight="1" x14ac:dyDescent="0.2">
      <c r="A185" s="74"/>
      <c r="B185" s="95"/>
      <c r="C185" s="27"/>
      <c r="D185" s="13"/>
      <c r="E185" s="14"/>
      <c r="F185" s="13"/>
      <c r="G185" s="78"/>
      <c r="H185" s="79"/>
      <c r="I185" s="15"/>
      <c r="J185" s="143"/>
      <c r="K185" s="80"/>
      <c r="L185" s="80"/>
      <c r="M185" s="80"/>
      <c r="N185" s="171"/>
      <c r="O185" s="15"/>
      <c r="P185" s="77"/>
      <c r="Q185" s="6"/>
      <c r="R185" s="6"/>
    </row>
    <row r="186" spans="1:18" ht="14.1" customHeight="1" x14ac:dyDescent="0.2">
      <c r="A186" s="74">
        <v>2</v>
      </c>
      <c r="B186" s="95" t="s">
        <v>217</v>
      </c>
      <c r="C186" s="27" t="s">
        <v>216</v>
      </c>
      <c r="D186" s="13">
        <v>615087000</v>
      </c>
      <c r="E186" s="14"/>
      <c r="F186" s="13">
        <f>E186+D186</f>
        <v>615087000</v>
      </c>
      <c r="G186" s="80">
        <f>+mei!I186</f>
        <v>169486000</v>
      </c>
      <c r="H186" s="79">
        <f>24790000+11700000+30700000+14206500</f>
        <v>81396500</v>
      </c>
      <c r="I186" s="15">
        <f>H186+G186</f>
        <v>250882500</v>
      </c>
      <c r="J186" s="143">
        <f>+I186/F186</f>
        <v>0.40788132410537048</v>
      </c>
      <c r="K186" s="80">
        <f>+mei!M186</f>
        <v>169476000</v>
      </c>
      <c r="L186" s="80">
        <f>24790000+11700000+30700000+14206500</f>
        <v>81396500</v>
      </c>
      <c r="M186" s="80">
        <f>+K186+L186</f>
        <v>250872500</v>
      </c>
      <c r="N186" s="171">
        <f>+M186/F186</f>
        <v>0.40786506624266161</v>
      </c>
      <c r="O186" s="15">
        <f>+F186-M186</f>
        <v>364214500</v>
      </c>
      <c r="P186" s="77"/>
      <c r="Q186" s="6" t="str">
        <f t="shared" ref="Q186" si="104">IF(M186&lt;=I186,"OKE","Salah")</f>
        <v>OKE</v>
      </c>
      <c r="R186" s="6"/>
    </row>
    <row r="187" spans="1:18" ht="17.25" customHeight="1" x14ac:dyDescent="0.2">
      <c r="A187" s="74"/>
      <c r="B187" s="95"/>
      <c r="C187" s="27"/>
      <c r="D187" s="13"/>
      <c r="E187" s="14"/>
      <c r="F187" s="13"/>
      <c r="G187" s="78"/>
      <c r="H187" s="79"/>
      <c r="I187" s="15"/>
      <c r="J187" s="143"/>
      <c r="K187" s="80"/>
      <c r="L187" s="80"/>
      <c r="M187" s="80"/>
      <c r="N187" s="171"/>
      <c r="O187" s="15"/>
      <c r="P187" s="77"/>
      <c r="Q187" s="6"/>
      <c r="R187" s="6"/>
    </row>
    <row r="188" spans="1:18" ht="14.1" customHeight="1" x14ac:dyDescent="0.2">
      <c r="A188" s="74">
        <v>3</v>
      </c>
      <c r="B188" s="95" t="s">
        <v>219</v>
      </c>
      <c r="C188" s="27" t="s">
        <v>218</v>
      </c>
      <c r="D188" s="13">
        <v>257443800</v>
      </c>
      <c r="E188" s="14"/>
      <c r="F188" s="13">
        <f>E188+D188</f>
        <v>257443800</v>
      </c>
      <c r="G188" s="80">
        <f>+mei!I188</f>
        <v>44036800</v>
      </c>
      <c r="H188" s="79">
        <v>13860000</v>
      </c>
      <c r="I188" s="15">
        <f>H188+G188</f>
        <v>57896800</v>
      </c>
      <c r="J188" s="143">
        <f>+I188/F188</f>
        <v>0.22489102475957859</v>
      </c>
      <c r="K188" s="80">
        <f>+mei!M188</f>
        <v>44036800</v>
      </c>
      <c r="L188" s="80">
        <v>13860000</v>
      </c>
      <c r="M188" s="80">
        <f>+K188+L188</f>
        <v>57896800</v>
      </c>
      <c r="N188" s="171">
        <f>+M188/F188</f>
        <v>0.22489102475957859</v>
      </c>
      <c r="O188" s="15">
        <f>+F188-M188</f>
        <v>199547000</v>
      </c>
      <c r="P188" s="77"/>
      <c r="Q188" s="6" t="str">
        <f t="shared" ref="Q188" si="105">IF(M188&lt;=I188,"OKE","Salah")</f>
        <v>OKE</v>
      </c>
      <c r="R188" s="6"/>
    </row>
    <row r="189" spans="1:18" ht="17.25" customHeight="1" x14ac:dyDescent="0.2">
      <c r="A189" s="74"/>
      <c r="B189" s="95"/>
      <c r="C189" s="27"/>
      <c r="D189" s="13"/>
      <c r="E189" s="14"/>
      <c r="F189" s="13"/>
      <c r="G189" s="78"/>
      <c r="H189" s="79"/>
      <c r="I189" s="15"/>
      <c r="J189" s="143"/>
      <c r="K189" s="80"/>
      <c r="L189" s="80"/>
      <c r="M189" s="80"/>
      <c r="N189" s="171"/>
      <c r="O189" s="15"/>
      <c r="P189" s="77"/>
      <c r="Q189" s="6"/>
      <c r="R189" s="6"/>
    </row>
    <row r="190" spans="1:18" ht="27.75" customHeight="1" x14ac:dyDescent="0.2">
      <c r="A190" s="205">
        <v>4</v>
      </c>
      <c r="B190" s="220" t="s">
        <v>221</v>
      </c>
      <c r="C190" s="219" t="s">
        <v>220</v>
      </c>
      <c r="D190" s="213">
        <v>110362500</v>
      </c>
      <c r="E190" s="14"/>
      <c r="F190" s="13">
        <f>E190+D190</f>
        <v>110362500</v>
      </c>
      <c r="G190" s="80">
        <f>+mei!I190</f>
        <v>25067500</v>
      </c>
      <c r="H190" s="79">
        <v>8655000</v>
      </c>
      <c r="I190" s="15">
        <f>H190+G190</f>
        <v>33722500</v>
      </c>
      <c r="J190" s="143">
        <f>+I190/F190</f>
        <v>0.30556121871106579</v>
      </c>
      <c r="K190" s="80">
        <f>+mei!M190</f>
        <v>25067500</v>
      </c>
      <c r="L190" s="80">
        <v>8655000</v>
      </c>
      <c r="M190" s="80">
        <f>+K190+L190</f>
        <v>33722500</v>
      </c>
      <c r="N190" s="171">
        <f>+M190/F190</f>
        <v>0.30556121871106579</v>
      </c>
      <c r="O190" s="15">
        <f>+F190-M190</f>
        <v>76640000</v>
      </c>
      <c r="P190" s="77"/>
      <c r="Q190" s="6" t="str">
        <f t="shared" ref="Q190" si="106">IF(M190&lt;=I190,"OKE","Salah")</f>
        <v>OKE</v>
      </c>
      <c r="R190" s="6"/>
    </row>
    <row r="191" spans="1:18" ht="14.1" customHeight="1" x14ac:dyDescent="0.2">
      <c r="A191" s="139"/>
      <c r="B191" s="139"/>
      <c r="C191" s="140"/>
      <c r="D191" s="142"/>
      <c r="E191" s="142"/>
      <c r="F191" s="142"/>
      <c r="G191" s="188"/>
      <c r="H191" s="246"/>
      <c r="I191" s="188"/>
      <c r="J191" s="247"/>
      <c r="K191" s="188"/>
      <c r="L191" s="245"/>
      <c r="M191" s="245"/>
      <c r="N191" s="247"/>
      <c r="O191" s="141"/>
      <c r="P191" s="77"/>
      <c r="Q191" s="6"/>
      <c r="R191" s="6"/>
    </row>
    <row r="192" spans="1:18" ht="14.1" customHeight="1" x14ac:dyDescent="0.2">
      <c r="A192" s="388"/>
      <c r="B192" s="388"/>
      <c r="C192" s="395" t="s">
        <v>72</v>
      </c>
      <c r="D192" s="364">
        <f>SUM(D184:D190)</f>
        <v>1189109400</v>
      </c>
      <c r="E192" s="364">
        <f>SUM(E184:E190)</f>
        <v>0</v>
      </c>
      <c r="F192" s="364">
        <f>SUM(F184:F190)</f>
        <v>1189109400</v>
      </c>
      <c r="G192" s="364">
        <f>SUM(G184:G190)</f>
        <v>305415820</v>
      </c>
      <c r="H192" s="364">
        <f>SUM(H184:H190)</f>
        <v>135661500</v>
      </c>
      <c r="I192" s="364">
        <f>G192+H192</f>
        <v>441077320</v>
      </c>
      <c r="J192" s="368">
        <f>+I192/F192</f>
        <v>0.37093081595351951</v>
      </c>
      <c r="K192" s="364">
        <f>SUM(K184:K190)</f>
        <v>305405820</v>
      </c>
      <c r="L192" s="364">
        <f>SUM(L184:L190)</f>
        <v>135661500</v>
      </c>
      <c r="M192" s="364">
        <f>+K192+L192</f>
        <v>441067320</v>
      </c>
      <c r="N192" s="366">
        <f>+M192/F192</f>
        <v>0.37092240629836076</v>
      </c>
      <c r="O192" s="364">
        <f>+F192-M192</f>
        <v>748042080</v>
      </c>
      <c r="P192" s="77"/>
      <c r="Q192" s="6" t="str">
        <f t="shared" ref="Q192:Q227" si="107">IF(M192&lt;=I192,"OKE","Salah")</f>
        <v>OKE</v>
      </c>
      <c r="R192" s="6"/>
    </row>
    <row r="193" spans="1:19" ht="14.1" customHeight="1" x14ac:dyDescent="0.2">
      <c r="A193" s="389"/>
      <c r="B193" s="389"/>
      <c r="C193" s="396"/>
      <c r="D193" s="365"/>
      <c r="E193" s="365"/>
      <c r="F193" s="365"/>
      <c r="G193" s="365"/>
      <c r="H193" s="365"/>
      <c r="I193" s="396"/>
      <c r="J193" s="369"/>
      <c r="K193" s="365"/>
      <c r="L193" s="365"/>
      <c r="M193" s="365"/>
      <c r="N193" s="367"/>
      <c r="O193" s="365"/>
      <c r="P193" s="77"/>
      <c r="Q193" s="6" t="str">
        <f t="shared" si="107"/>
        <v>OKE</v>
      </c>
      <c r="R193" s="6"/>
    </row>
    <row r="194" spans="1:19" ht="14.45" customHeight="1" x14ac:dyDescent="0.2">
      <c r="A194" s="74"/>
      <c r="B194" s="76"/>
      <c r="C194" s="76"/>
      <c r="D194" s="8"/>
      <c r="E194" s="8"/>
      <c r="F194" s="8"/>
      <c r="G194" s="76"/>
      <c r="H194" s="82"/>
      <c r="I194" s="76"/>
      <c r="J194" s="86"/>
      <c r="K194" s="76"/>
      <c r="L194" s="76"/>
      <c r="M194" s="76"/>
      <c r="N194" s="248"/>
      <c r="O194" s="241"/>
      <c r="P194" s="77"/>
      <c r="Q194" s="6"/>
      <c r="R194" s="6"/>
    </row>
    <row r="195" spans="1:19" ht="17.100000000000001" customHeight="1" x14ac:dyDescent="0.2">
      <c r="A195" s="74"/>
      <c r="B195" s="76"/>
      <c r="C195" s="244" t="s">
        <v>73</v>
      </c>
      <c r="D195" s="8"/>
      <c r="E195" s="8"/>
      <c r="F195" s="8"/>
      <c r="G195" s="76"/>
      <c r="H195" s="82"/>
      <c r="I195" s="76"/>
      <c r="J195" s="86"/>
      <c r="K195" s="76"/>
      <c r="L195" s="76"/>
      <c r="M195" s="76"/>
      <c r="N195" s="86"/>
      <c r="O195" s="76"/>
      <c r="P195" s="77"/>
      <c r="Q195" s="6"/>
      <c r="R195" s="6"/>
    </row>
    <row r="196" spans="1:19" ht="14.25" customHeight="1" x14ac:dyDescent="0.2">
      <c r="A196" s="74"/>
      <c r="B196" s="76"/>
      <c r="C196" s="76"/>
      <c r="D196" s="8"/>
      <c r="E196" s="8"/>
      <c r="F196" s="8"/>
      <c r="G196" s="76"/>
      <c r="H196" s="82"/>
      <c r="I196" s="76"/>
      <c r="J196" s="86"/>
      <c r="K196" s="76"/>
      <c r="L196" s="76"/>
      <c r="M196" s="76"/>
      <c r="N196" s="86"/>
      <c r="O196" s="76"/>
      <c r="P196" s="77"/>
      <c r="Q196" s="6"/>
      <c r="R196" s="6"/>
    </row>
    <row r="197" spans="1:19" ht="27" customHeight="1" x14ac:dyDescent="0.2">
      <c r="A197" s="7"/>
      <c r="B197" s="206" t="s">
        <v>154</v>
      </c>
      <c r="C197" s="201" t="s">
        <v>153</v>
      </c>
      <c r="D197" s="10">
        <f>+D199+D207+D221+D229+D246</f>
        <v>11163425000</v>
      </c>
      <c r="E197" s="10">
        <f>+E199+E207+E221+E229+E246</f>
        <v>0</v>
      </c>
      <c r="F197" s="10">
        <f>+D197+E197</f>
        <v>11163425000</v>
      </c>
      <c r="G197" s="312">
        <f>+G199+G207+G221+G229+G239+G246</f>
        <v>4603829496</v>
      </c>
      <c r="H197" s="10">
        <f>+H199+H207+H221+H229+H239+H246</f>
        <v>1279502564</v>
      </c>
      <c r="I197" s="10">
        <f>+G197+H197</f>
        <v>5883332060</v>
      </c>
      <c r="J197" s="168">
        <f>+I197/F197</f>
        <v>0.5270185503105006</v>
      </c>
      <c r="K197" s="312">
        <f>+K199+K207+K221+K229+K246</f>
        <v>4241260264</v>
      </c>
      <c r="L197" s="10">
        <f>+L199+L207+L221+L229+L246</f>
        <v>1208673951</v>
      </c>
      <c r="M197" s="10">
        <f>+K197+L197</f>
        <v>5449934215</v>
      </c>
      <c r="N197" s="169">
        <f>+M197/F197</f>
        <v>0.48819553273300981</v>
      </c>
      <c r="O197" s="10">
        <f>+F197-M197</f>
        <v>5713490785</v>
      </c>
      <c r="P197" s="77"/>
      <c r="Q197" s="6" t="str">
        <f t="shared" ref="Q197:Q199" si="108">IF(M197&lt;=I197,"OKE","Salah")</f>
        <v>OKE</v>
      </c>
      <c r="R197" s="6"/>
    </row>
    <row r="198" spans="1:19" ht="15" customHeight="1" x14ac:dyDescent="0.2">
      <c r="A198" s="7"/>
      <c r="B198" s="206"/>
      <c r="C198" s="305"/>
      <c r="D198" s="10"/>
      <c r="E198" s="296"/>
      <c r="F198" s="10"/>
      <c r="G198" s="10"/>
      <c r="H198" s="10"/>
      <c r="I198" s="10"/>
      <c r="J198" s="168"/>
      <c r="K198" s="10"/>
      <c r="L198" s="10"/>
      <c r="M198" s="10"/>
      <c r="N198" s="169"/>
      <c r="O198" s="10"/>
      <c r="P198" s="77"/>
      <c r="Q198" s="6"/>
      <c r="R198" s="6"/>
    </row>
    <row r="199" spans="1:19" ht="15" customHeight="1" x14ac:dyDescent="0.2">
      <c r="A199" s="212"/>
      <c r="B199" s="7" t="s">
        <v>160</v>
      </c>
      <c r="C199" s="208" t="s">
        <v>315</v>
      </c>
      <c r="D199" s="178">
        <f>+D201+D203</f>
        <v>164975000</v>
      </c>
      <c r="E199" s="221"/>
      <c r="F199" s="178">
        <f>+D199+E199</f>
        <v>164975000</v>
      </c>
      <c r="G199" s="178">
        <f t="shared" ref="G199:H199" si="109">+G201+G203</f>
        <v>108675000</v>
      </c>
      <c r="H199" s="178">
        <f t="shared" si="109"/>
        <v>19980000</v>
      </c>
      <c r="I199" s="10">
        <f>+G199+H199</f>
        <v>128655000</v>
      </c>
      <c r="J199" s="168">
        <f>+I199/F199</f>
        <v>0.77984543112592819</v>
      </c>
      <c r="K199" s="178">
        <f t="shared" ref="K199:L199" si="110">+K201+K203</f>
        <v>108675000</v>
      </c>
      <c r="L199" s="178">
        <f t="shared" si="110"/>
        <v>19980000</v>
      </c>
      <c r="M199" s="10">
        <f>+K199+L199</f>
        <v>128655000</v>
      </c>
      <c r="N199" s="169">
        <f>+M199/F199</f>
        <v>0.77984543112592819</v>
      </c>
      <c r="O199" s="10">
        <f>+F199-M199</f>
        <v>36320000</v>
      </c>
      <c r="P199" s="77"/>
      <c r="Q199" s="6" t="str">
        <f t="shared" si="108"/>
        <v>OKE</v>
      </c>
      <c r="R199" s="6"/>
    </row>
    <row r="200" spans="1:19" ht="15" customHeight="1" x14ac:dyDescent="0.2">
      <c r="A200" s="74"/>
      <c r="B200" s="74"/>
      <c r="C200" s="76"/>
      <c r="D200" s="15"/>
      <c r="E200" s="17"/>
      <c r="F200" s="15"/>
      <c r="G200" s="78"/>
      <c r="H200" s="79"/>
      <c r="I200" s="80"/>
      <c r="J200" s="86"/>
      <c r="K200" s="78"/>
      <c r="L200" s="76"/>
      <c r="M200" s="76"/>
      <c r="N200" s="86"/>
      <c r="O200" s="10"/>
      <c r="P200" s="77"/>
      <c r="Q200" s="6"/>
      <c r="R200" s="6"/>
    </row>
    <row r="201" spans="1:19" ht="15" customHeight="1" x14ac:dyDescent="0.2">
      <c r="A201" s="74">
        <v>1</v>
      </c>
      <c r="B201" s="28" t="s">
        <v>164</v>
      </c>
      <c r="C201" s="83" t="s">
        <v>316</v>
      </c>
      <c r="D201" s="13">
        <v>139975000</v>
      </c>
      <c r="E201" s="14"/>
      <c r="F201" s="13">
        <f>+D201+E201</f>
        <v>139975000</v>
      </c>
      <c r="G201" s="80">
        <f>+mei!I201</f>
        <v>106425000</v>
      </c>
      <c r="H201" s="79">
        <v>19980000</v>
      </c>
      <c r="I201" s="15">
        <f>+G201+H201</f>
        <v>126405000</v>
      </c>
      <c r="J201" s="143">
        <f>+I201/F201</f>
        <v>0.90305411680657255</v>
      </c>
      <c r="K201" s="80">
        <f>+mei!M201</f>
        <v>106425000</v>
      </c>
      <c r="L201" s="80">
        <v>19980000</v>
      </c>
      <c r="M201" s="80">
        <f>+K201+L201</f>
        <v>126405000</v>
      </c>
      <c r="N201" s="171">
        <f>+M201/F201</f>
        <v>0.90305411680657255</v>
      </c>
      <c r="O201" s="15">
        <f>+F201-M201</f>
        <v>13570000</v>
      </c>
      <c r="P201" s="77"/>
      <c r="Q201" s="6" t="str">
        <f t="shared" ref="Q201" si="111">IF(M201&lt;=I201,"OKE","Salah")</f>
        <v>OKE</v>
      </c>
      <c r="R201" s="6"/>
    </row>
    <row r="202" spans="1:19" ht="15" customHeight="1" x14ac:dyDescent="0.2">
      <c r="A202" s="74"/>
      <c r="B202" s="74"/>
      <c r="C202" s="83"/>
      <c r="D202" s="15"/>
      <c r="E202" s="17"/>
      <c r="F202" s="15"/>
      <c r="G202" s="78"/>
      <c r="H202" s="79"/>
      <c r="I202" s="80"/>
      <c r="J202" s="86"/>
      <c r="K202" s="78"/>
      <c r="L202" s="76"/>
      <c r="M202" s="76"/>
      <c r="N202" s="86"/>
      <c r="O202" s="10"/>
      <c r="P202" s="77"/>
      <c r="Q202" s="6"/>
      <c r="R202" s="6"/>
    </row>
    <row r="203" spans="1:19" ht="26.25" customHeight="1" x14ac:dyDescent="0.2">
      <c r="A203" s="74">
        <v>2</v>
      </c>
      <c r="B203" s="28" t="s">
        <v>165</v>
      </c>
      <c r="C203" s="304" t="s">
        <v>317</v>
      </c>
      <c r="D203" s="13">
        <v>25000000</v>
      </c>
      <c r="E203" s="14"/>
      <c r="F203" s="13">
        <f>+D203+E203</f>
        <v>25000000</v>
      </c>
      <c r="G203" s="80">
        <f>+mei!I203</f>
        <v>2250000</v>
      </c>
      <c r="H203" s="79">
        <v>0</v>
      </c>
      <c r="I203" s="15">
        <f>+G203+H203</f>
        <v>2250000</v>
      </c>
      <c r="J203" s="143">
        <f>+I203/F203</f>
        <v>0.09</v>
      </c>
      <c r="K203" s="80">
        <f>+mei!M203</f>
        <v>2250000</v>
      </c>
      <c r="L203" s="80">
        <v>0</v>
      </c>
      <c r="M203" s="80">
        <f>+K203+L203</f>
        <v>2250000</v>
      </c>
      <c r="N203" s="171">
        <f>+M203/F203</f>
        <v>0.09</v>
      </c>
      <c r="O203" s="15">
        <f>+F203-M203</f>
        <v>22750000</v>
      </c>
      <c r="P203" s="77"/>
      <c r="Q203" s="6" t="str">
        <f t="shared" ref="Q203" si="112">IF(M203&lt;=I203,"OKE","Salah")</f>
        <v>OKE</v>
      </c>
      <c r="R203" s="6"/>
    </row>
    <row r="204" spans="1:19" ht="15" customHeight="1" x14ac:dyDescent="0.2">
      <c r="A204" s="74"/>
      <c r="B204" s="28"/>
      <c r="C204" s="304"/>
      <c r="D204" s="13"/>
      <c r="E204" s="14"/>
      <c r="F204" s="13"/>
      <c r="G204" s="78"/>
      <c r="H204" s="79"/>
      <c r="I204" s="15"/>
      <c r="J204" s="143"/>
      <c r="K204" s="78"/>
      <c r="L204" s="80"/>
      <c r="M204" s="80"/>
      <c r="N204" s="171"/>
      <c r="O204" s="15"/>
      <c r="P204" s="77"/>
      <c r="Q204" s="6"/>
      <c r="R204" s="6"/>
    </row>
    <row r="205" spans="1:19" ht="15" customHeight="1" x14ac:dyDescent="0.2">
      <c r="A205" s="81"/>
      <c r="B205" s="81"/>
      <c r="C205" s="23" t="s">
        <v>172</v>
      </c>
      <c r="D205" s="24">
        <f>+D201+D203</f>
        <v>164975000</v>
      </c>
      <c r="E205" s="24">
        <f t="shared" ref="E205" si="113">+E201+E203</f>
        <v>0</v>
      </c>
      <c r="F205" s="24">
        <f>+D205+E205</f>
        <v>164975000</v>
      </c>
      <c r="G205" s="24">
        <f t="shared" ref="G205:H205" si="114">+G201+G203</f>
        <v>108675000</v>
      </c>
      <c r="H205" s="24">
        <f t="shared" si="114"/>
        <v>19980000</v>
      </c>
      <c r="I205" s="24">
        <f>+G205+H205</f>
        <v>128655000</v>
      </c>
      <c r="J205" s="175">
        <f>+I205/F205</f>
        <v>0.77984543112592819</v>
      </c>
      <c r="K205" s="24">
        <f t="shared" ref="K205:L205" si="115">+K201+K203</f>
        <v>108675000</v>
      </c>
      <c r="L205" s="24">
        <f t="shared" si="115"/>
        <v>19980000</v>
      </c>
      <c r="M205" s="24">
        <f>+K205+L205</f>
        <v>128655000</v>
      </c>
      <c r="N205" s="172">
        <f>+M205/F205</f>
        <v>0.77984543112592819</v>
      </c>
      <c r="O205" s="24">
        <f>+F205-M205</f>
        <v>36320000</v>
      </c>
      <c r="P205" s="77"/>
      <c r="Q205" s="6" t="str">
        <f t="shared" ref="Q205" si="116">IF(M205&lt;=I205,"OKE","Salah")</f>
        <v>OKE</v>
      </c>
      <c r="R205" s="6"/>
    </row>
    <row r="206" spans="1:19" ht="14.1" customHeight="1" x14ac:dyDescent="0.2">
      <c r="A206" s="74"/>
      <c r="B206" s="28"/>
      <c r="C206" s="83"/>
      <c r="D206" s="13"/>
      <c r="E206" s="14"/>
      <c r="F206" s="183"/>
      <c r="G206" s="78"/>
      <c r="H206" s="79"/>
      <c r="I206" s="15"/>
      <c r="J206" s="143"/>
      <c r="K206" s="78"/>
      <c r="L206" s="80"/>
      <c r="M206" s="80"/>
      <c r="N206" s="171"/>
      <c r="O206" s="15"/>
      <c r="P206" s="77"/>
      <c r="Q206" s="6"/>
      <c r="R206" s="6"/>
    </row>
    <row r="207" spans="1:19" s="77" customFormat="1" ht="14.1" customHeight="1" x14ac:dyDescent="0.2">
      <c r="A207" s="212"/>
      <c r="B207" s="7" t="s">
        <v>160</v>
      </c>
      <c r="C207" s="208" t="s">
        <v>159</v>
      </c>
      <c r="D207" s="178">
        <f>SUM(D209:D217)</f>
        <v>5266450000</v>
      </c>
      <c r="E207" s="221"/>
      <c r="F207" s="178">
        <f>+D207+E207</f>
        <v>5266450000</v>
      </c>
      <c r="G207" s="314">
        <f t="shared" ref="G207:H207" si="117">SUM(G209:G217)</f>
        <v>2309851800</v>
      </c>
      <c r="H207" s="178">
        <f t="shared" si="117"/>
        <v>749826200</v>
      </c>
      <c r="I207" s="10">
        <f>+G207+H207</f>
        <v>3059678000</v>
      </c>
      <c r="J207" s="168">
        <f>+I207/F207</f>
        <v>0.58097541987486823</v>
      </c>
      <c r="K207" s="314">
        <f t="shared" ref="K207:L207" si="118">SUM(K209:K217)</f>
        <v>2309779800</v>
      </c>
      <c r="L207" s="178">
        <f t="shared" si="118"/>
        <v>749826200</v>
      </c>
      <c r="M207" s="10">
        <f>+K207+L207</f>
        <v>3059606000</v>
      </c>
      <c r="N207" s="169">
        <f>+M207/F207</f>
        <v>0.58096174842635928</v>
      </c>
      <c r="O207" s="10">
        <f>+F207-M207</f>
        <v>2206844000</v>
      </c>
      <c r="Q207" s="6" t="str">
        <f t="shared" si="107"/>
        <v>OKE</v>
      </c>
      <c r="R207" s="6"/>
      <c r="S207" s="69"/>
    </row>
    <row r="208" spans="1:19" s="77" customFormat="1" ht="14.1" customHeight="1" x14ac:dyDescent="0.2">
      <c r="A208" s="74"/>
      <c r="B208" s="74"/>
      <c r="C208" s="76"/>
      <c r="D208" s="15"/>
      <c r="E208" s="17"/>
      <c r="F208" s="15"/>
      <c r="G208" s="78"/>
      <c r="H208" s="79"/>
      <c r="I208" s="80"/>
      <c r="J208" s="86"/>
      <c r="K208" s="78"/>
      <c r="L208" s="76"/>
      <c r="M208" s="76"/>
      <c r="N208" s="86"/>
      <c r="O208" s="10"/>
      <c r="Q208" s="6"/>
      <c r="R208" s="6"/>
      <c r="S208" s="69"/>
    </row>
    <row r="209" spans="1:19" s="77" customFormat="1" ht="15" customHeight="1" x14ac:dyDescent="0.2">
      <c r="A209" s="74">
        <v>3</v>
      </c>
      <c r="B209" s="28" t="s">
        <v>164</v>
      </c>
      <c r="C209" s="83" t="s">
        <v>161</v>
      </c>
      <c r="D209" s="13">
        <v>1660000000</v>
      </c>
      <c r="E209" s="14"/>
      <c r="F209" s="13">
        <f>+D209+E209</f>
        <v>1660000000</v>
      </c>
      <c r="G209" s="80">
        <f>+mei!I209</f>
        <v>808238400</v>
      </c>
      <c r="H209" s="80">
        <f>124701000+74773000</f>
        <v>199474000</v>
      </c>
      <c r="I209" s="15">
        <f>+G209+H209</f>
        <v>1007712400</v>
      </c>
      <c r="J209" s="143">
        <f>+I209/F209</f>
        <v>0.6070556626506024</v>
      </c>
      <c r="K209" s="80">
        <f>+mei!M209</f>
        <v>808238400</v>
      </c>
      <c r="L209" s="80">
        <f>124701000+74773000</f>
        <v>199474000</v>
      </c>
      <c r="M209" s="80">
        <f>+K209+L209</f>
        <v>1007712400</v>
      </c>
      <c r="N209" s="171">
        <f>+M209/F209</f>
        <v>0.6070556626506024</v>
      </c>
      <c r="O209" s="15">
        <f>+F209-M209</f>
        <v>652287600</v>
      </c>
      <c r="Q209" s="6" t="str">
        <f t="shared" si="107"/>
        <v>OKE</v>
      </c>
      <c r="R209" s="6"/>
      <c r="S209" s="68"/>
    </row>
    <row r="210" spans="1:19" s="77" customFormat="1" ht="14.1" customHeight="1" x14ac:dyDescent="0.2">
      <c r="A210" s="74"/>
      <c r="B210" s="74"/>
      <c r="C210" s="83"/>
      <c r="D210" s="15"/>
      <c r="E210" s="17"/>
      <c r="F210" s="15"/>
      <c r="G210" s="78"/>
      <c r="H210" s="79"/>
      <c r="I210" s="15">
        <f>+G210+H210</f>
        <v>0</v>
      </c>
      <c r="J210" s="86"/>
      <c r="K210" s="78"/>
      <c r="L210" s="76"/>
      <c r="M210" s="76"/>
      <c r="N210" s="86"/>
      <c r="O210" s="10"/>
      <c r="Q210" s="6"/>
      <c r="R210" s="6"/>
      <c r="S210" s="68"/>
    </row>
    <row r="211" spans="1:19" s="77" customFormat="1" ht="15.75" customHeight="1" x14ac:dyDescent="0.2">
      <c r="A211" s="74">
        <v>4</v>
      </c>
      <c r="B211" s="28" t="s">
        <v>165</v>
      </c>
      <c r="C211" s="83" t="s">
        <v>162</v>
      </c>
      <c r="D211" s="13">
        <v>575000000</v>
      </c>
      <c r="E211" s="14"/>
      <c r="F211" s="13">
        <f>+D211+E211</f>
        <v>575000000</v>
      </c>
      <c r="G211" s="80">
        <f>+mei!I211</f>
        <v>112410500</v>
      </c>
      <c r="H211" s="79">
        <f>14375000+37881500</f>
        <v>52256500</v>
      </c>
      <c r="I211" s="15">
        <f>+G211+H211</f>
        <v>164667000</v>
      </c>
      <c r="J211" s="143">
        <f>+I211/F211</f>
        <v>0.28637739130434781</v>
      </c>
      <c r="K211" s="80">
        <f>+mei!M211</f>
        <v>112338500</v>
      </c>
      <c r="L211" s="80">
        <f>14375000+37881500</f>
        <v>52256500</v>
      </c>
      <c r="M211" s="80">
        <f>+K211+L211</f>
        <v>164595000</v>
      </c>
      <c r="N211" s="171">
        <f>+M211/F211</f>
        <v>0.28625217391304347</v>
      </c>
      <c r="O211" s="15">
        <f>+F211-M211</f>
        <v>410405000</v>
      </c>
      <c r="Q211" s="6" t="str">
        <f t="shared" si="107"/>
        <v>OKE</v>
      </c>
      <c r="R211" s="6"/>
      <c r="S211" s="69"/>
    </row>
    <row r="212" spans="1:19" s="77" customFormat="1" ht="14.1" customHeight="1" x14ac:dyDescent="0.2">
      <c r="A212" s="74"/>
      <c r="B212" s="74"/>
      <c r="C212" s="76"/>
      <c r="D212" s="15"/>
      <c r="E212" s="17"/>
      <c r="F212" s="15"/>
      <c r="G212" s="78"/>
      <c r="H212" s="79"/>
      <c r="I212" s="80"/>
      <c r="J212" s="86"/>
      <c r="K212" s="78"/>
      <c r="L212" s="76"/>
      <c r="M212" s="76"/>
      <c r="N212" s="86"/>
      <c r="O212" s="10"/>
      <c r="Q212" s="6"/>
      <c r="R212" s="6"/>
      <c r="S212" s="68"/>
    </row>
    <row r="213" spans="1:19" s="77" customFormat="1" ht="17.25" customHeight="1" x14ac:dyDescent="0.2">
      <c r="A213" s="74">
        <v>5</v>
      </c>
      <c r="B213" s="28" t="s">
        <v>166</v>
      </c>
      <c r="C213" s="83" t="s">
        <v>163</v>
      </c>
      <c r="D213" s="13">
        <v>270000000</v>
      </c>
      <c r="E213" s="14"/>
      <c r="F213" s="13">
        <f>+D213+E213</f>
        <v>270000000</v>
      </c>
      <c r="G213" s="80">
        <f>+mei!I213</f>
        <v>66406500</v>
      </c>
      <c r="H213" s="79">
        <v>17366000</v>
      </c>
      <c r="I213" s="15">
        <f>+G213+H213</f>
        <v>83772500</v>
      </c>
      <c r="J213" s="143">
        <f>+I213/F213</f>
        <v>0.3102685185185185</v>
      </c>
      <c r="K213" s="80">
        <f>+mei!M213</f>
        <v>66406500</v>
      </c>
      <c r="L213" s="80">
        <v>17366000</v>
      </c>
      <c r="M213" s="80">
        <f>+K213+L213</f>
        <v>83772500</v>
      </c>
      <c r="N213" s="171">
        <f>+M213/F213</f>
        <v>0.3102685185185185</v>
      </c>
      <c r="O213" s="15">
        <f>+F213-M213</f>
        <v>186227500</v>
      </c>
      <c r="Q213" s="6" t="str">
        <f t="shared" si="107"/>
        <v>OKE</v>
      </c>
      <c r="R213" s="6"/>
      <c r="S213" s="68"/>
    </row>
    <row r="214" spans="1:19" s="77" customFormat="1" ht="14.1" customHeight="1" x14ac:dyDescent="0.2">
      <c r="A214" s="74"/>
      <c r="B214" s="28"/>
      <c r="C214" s="83"/>
      <c r="D214" s="13"/>
      <c r="E214" s="14"/>
      <c r="F214" s="13"/>
      <c r="G214" s="78"/>
      <c r="H214" s="79"/>
      <c r="I214" s="15"/>
      <c r="J214" s="143"/>
      <c r="K214" s="78"/>
      <c r="L214" s="80"/>
      <c r="M214" s="80"/>
      <c r="N214" s="171"/>
      <c r="O214" s="15"/>
      <c r="Q214" s="6"/>
      <c r="R214" s="6"/>
      <c r="S214" s="68"/>
    </row>
    <row r="215" spans="1:19" s="77" customFormat="1" ht="17.25" customHeight="1" x14ac:dyDescent="0.2">
      <c r="A215" s="74">
        <v>6</v>
      </c>
      <c r="B215" s="28" t="s">
        <v>168</v>
      </c>
      <c r="C215" s="83" t="s">
        <v>167</v>
      </c>
      <c r="D215" s="13">
        <v>1800000000</v>
      </c>
      <c r="E215" s="14"/>
      <c r="F215" s="13">
        <f>+D215+E215</f>
        <v>1800000000</v>
      </c>
      <c r="G215" s="315">
        <f>+mei!I215</f>
        <v>890452000</v>
      </c>
      <c r="H215" s="79">
        <f>29400000+29625000+30000000+98000000+104791000</f>
        <v>291816000</v>
      </c>
      <c r="I215" s="15">
        <f>+G215+H215</f>
        <v>1182268000</v>
      </c>
      <c r="J215" s="143">
        <f>+I215/F215</f>
        <v>0.6568155555555556</v>
      </c>
      <c r="K215" s="315">
        <f>+mei!M215</f>
        <v>890452000</v>
      </c>
      <c r="L215" s="80">
        <f>29400000+29625000+30000000+98000000+104791000</f>
        <v>291816000</v>
      </c>
      <c r="M215" s="80">
        <f>+K215+L215</f>
        <v>1182268000</v>
      </c>
      <c r="N215" s="171">
        <f>+M215/F215</f>
        <v>0.6568155555555556</v>
      </c>
      <c r="O215" s="15">
        <f>+F215-M215</f>
        <v>617732000</v>
      </c>
      <c r="Q215" s="6" t="str">
        <f t="shared" si="107"/>
        <v>OKE</v>
      </c>
      <c r="R215" s="6"/>
      <c r="S215" s="68"/>
    </row>
    <row r="216" spans="1:19" s="77" customFormat="1" ht="14.1" customHeight="1" x14ac:dyDescent="0.2">
      <c r="A216" s="74"/>
      <c r="B216" s="28"/>
      <c r="C216" s="83"/>
      <c r="D216" s="13"/>
      <c r="E216" s="14"/>
      <c r="F216" s="13"/>
      <c r="G216" s="78"/>
      <c r="H216" s="79"/>
      <c r="I216" s="15"/>
      <c r="J216" s="143"/>
      <c r="K216" s="78"/>
      <c r="L216" s="80"/>
      <c r="M216" s="80"/>
      <c r="N216" s="171"/>
      <c r="O216" s="15"/>
      <c r="Q216" s="6"/>
      <c r="R216" s="6"/>
      <c r="S216" s="68"/>
    </row>
    <row r="217" spans="1:19" s="77" customFormat="1" ht="16.5" customHeight="1" x14ac:dyDescent="0.2">
      <c r="A217" s="74">
        <v>7</v>
      </c>
      <c r="B217" s="28" t="s">
        <v>170</v>
      </c>
      <c r="C217" s="83" t="s">
        <v>169</v>
      </c>
      <c r="D217" s="13">
        <v>961450000</v>
      </c>
      <c r="E217" s="14"/>
      <c r="F217" s="13">
        <f>+D217+E217</f>
        <v>961450000</v>
      </c>
      <c r="G217" s="80">
        <f>+mei!I217</f>
        <v>432344400</v>
      </c>
      <c r="H217" s="79">
        <v>188913700</v>
      </c>
      <c r="I217" s="15">
        <f>+G217+H217</f>
        <v>621258100</v>
      </c>
      <c r="J217" s="143">
        <f>+I217/F217</f>
        <v>0.64616787144417287</v>
      </c>
      <c r="K217" s="80">
        <f>+mei!M217</f>
        <v>432344400</v>
      </c>
      <c r="L217" s="80">
        <v>188913700</v>
      </c>
      <c r="M217" s="80">
        <f>+K217+L217</f>
        <v>621258100</v>
      </c>
      <c r="N217" s="171">
        <f>+M217/F217</f>
        <v>0.64616787144417287</v>
      </c>
      <c r="O217" s="15">
        <f>+F217-M217</f>
        <v>340191900</v>
      </c>
      <c r="Q217" s="6" t="str">
        <f t="shared" si="107"/>
        <v>OKE</v>
      </c>
      <c r="R217" s="6"/>
      <c r="S217" s="68"/>
    </row>
    <row r="218" spans="1:19" s="77" customFormat="1" ht="14.1" customHeight="1" x14ac:dyDescent="0.2">
      <c r="A218" s="74"/>
      <c r="B218" s="28"/>
      <c r="C218" s="83"/>
      <c r="D218" s="13"/>
      <c r="E218" s="14"/>
      <c r="F218" s="13"/>
      <c r="G218" s="78"/>
      <c r="H218" s="79"/>
      <c r="I218" s="15"/>
      <c r="J218" s="143"/>
      <c r="K218" s="78"/>
      <c r="L218" s="80"/>
      <c r="M218" s="80"/>
      <c r="N218" s="171"/>
      <c r="O218" s="15"/>
      <c r="Q218" s="6"/>
      <c r="R218" s="6"/>
      <c r="S218" s="68"/>
    </row>
    <row r="219" spans="1:19" ht="14.1" customHeight="1" x14ac:dyDescent="0.2">
      <c r="A219" s="81"/>
      <c r="B219" s="81"/>
      <c r="C219" s="23" t="s">
        <v>172</v>
      </c>
      <c r="D219" s="24">
        <f>SUM(D209:D217)</f>
        <v>5266450000</v>
      </c>
      <c r="E219" s="24">
        <f t="shared" ref="E219" si="119">SUM(E209:E217)</f>
        <v>0</v>
      </c>
      <c r="F219" s="141">
        <f>+D219+E219</f>
        <v>5266450000</v>
      </c>
      <c r="G219" s="316">
        <f>SUM(G209:G217)</f>
        <v>2309851800</v>
      </c>
      <c r="H219" s="24">
        <f>SUM(H209:H217)</f>
        <v>749826200</v>
      </c>
      <c r="I219" s="24">
        <f>+G219+H219</f>
        <v>3059678000</v>
      </c>
      <c r="J219" s="175">
        <f>+I219/F219</f>
        <v>0.58097541987486823</v>
      </c>
      <c r="K219" s="316">
        <f>SUM(K209:K218)</f>
        <v>2309779800</v>
      </c>
      <c r="L219" s="24">
        <f>SUM(L209:L218)</f>
        <v>749826200</v>
      </c>
      <c r="M219" s="24">
        <f>+K219+L219</f>
        <v>3059606000</v>
      </c>
      <c r="N219" s="172">
        <f>+M219/F219</f>
        <v>0.58096174842635928</v>
      </c>
      <c r="O219" s="24">
        <f>+F219-M219</f>
        <v>2206844000</v>
      </c>
      <c r="P219" s="77"/>
      <c r="Q219" s="6" t="str">
        <f t="shared" si="107"/>
        <v>OKE</v>
      </c>
      <c r="R219" s="6"/>
    </row>
    <row r="220" spans="1:19" ht="14.1" customHeight="1" x14ac:dyDescent="0.2">
      <c r="A220" s="74"/>
      <c r="B220" s="74"/>
      <c r="C220" s="76"/>
      <c r="D220" s="15"/>
      <c r="E220" s="15"/>
      <c r="F220" s="15"/>
      <c r="G220" s="80"/>
      <c r="H220" s="79"/>
      <c r="I220" s="80"/>
      <c r="J220" s="86"/>
      <c r="K220" s="80"/>
      <c r="L220" s="76"/>
      <c r="M220" s="76"/>
      <c r="N220" s="86"/>
      <c r="O220" s="10"/>
      <c r="P220" s="77"/>
      <c r="Q220" s="6"/>
      <c r="R220" s="6"/>
    </row>
    <row r="221" spans="1:19" ht="14.1" customHeight="1" x14ac:dyDescent="0.2">
      <c r="A221" s="206"/>
      <c r="B221" s="206" t="s">
        <v>173</v>
      </c>
      <c r="C221" s="255" t="s">
        <v>177</v>
      </c>
      <c r="D221" s="209">
        <f>D227</f>
        <v>1022000000</v>
      </c>
      <c r="E221" s="10">
        <f>E227</f>
        <v>0</v>
      </c>
      <c r="F221" s="10">
        <f>+D221+E221</f>
        <v>1022000000</v>
      </c>
      <c r="G221" s="10">
        <f>G227</f>
        <v>498784839</v>
      </c>
      <c r="H221" s="10">
        <f>H227</f>
        <v>98139397</v>
      </c>
      <c r="I221" s="10">
        <f>+G221+H221</f>
        <v>596924236</v>
      </c>
      <c r="J221" s="168">
        <f>+I221/F221</f>
        <v>0.58407459491193736</v>
      </c>
      <c r="K221" s="10">
        <f>K227</f>
        <v>498784839</v>
      </c>
      <c r="L221" s="10">
        <f>L227</f>
        <v>98139397</v>
      </c>
      <c r="M221" s="10">
        <f>+K221+L221</f>
        <v>596924236</v>
      </c>
      <c r="N221" s="169">
        <f>+M221/F221</f>
        <v>0.58407459491193736</v>
      </c>
      <c r="O221" s="10">
        <f>+F221-M221</f>
        <v>425075764</v>
      </c>
      <c r="P221" s="77"/>
      <c r="Q221" s="6" t="str">
        <f t="shared" si="107"/>
        <v>OKE</v>
      </c>
      <c r="R221" s="6"/>
    </row>
    <row r="222" spans="1:19" ht="14.1" customHeight="1" x14ac:dyDescent="0.2">
      <c r="A222" s="74"/>
      <c r="B222" s="74"/>
      <c r="C222" s="76"/>
      <c r="D222" s="15"/>
      <c r="E222" s="15"/>
      <c r="F222" s="15"/>
      <c r="G222" s="80"/>
      <c r="H222" s="79"/>
      <c r="I222" s="80"/>
      <c r="J222" s="86"/>
      <c r="K222" s="80"/>
      <c r="L222" s="76"/>
      <c r="M222" s="76"/>
      <c r="N222" s="86"/>
      <c r="O222" s="10"/>
      <c r="P222" s="77"/>
      <c r="Q222" s="6"/>
      <c r="R222" s="6"/>
    </row>
    <row r="223" spans="1:19" ht="14.1" customHeight="1" x14ac:dyDescent="0.2">
      <c r="A223" s="74">
        <v>8</v>
      </c>
      <c r="B223" s="28" t="s">
        <v>174</v>
      </c>
      <c r="C223" s="27" t="s">
        <v>60</v>
      </c>
      <c r="D223" s="13">
        <v>22000000</v>
      </c>
      <c r="E223" s="14"/>
      <c r="F223" s="13">
        <f>+D223+E223</f>
        <v>22000000</v>
      </c>
      <c r="G223" s="80">
        <f>+mei!I223</f>
        <v>5400000</v>
      </c>
      <c r="H223" s="79">
        <v>2000000</v>
      </c>
      <c r="I223" s="15">
        <f t="shared" ref="I223:I225" si="120">+G223+H223</f>
        <v>7400000</v>
      </c>
      <c r="J223" s="143">
        <f>+I223/F223</f>
        <v>0.33636363636363636</v>
      </c>
      <c r="K223" s="80">
        <f>+mei!M223</f>
        <v>5400000</v>
      </c>
      <c r="L223" s="80">
        <v>2000000</v>
      </c>
      <c r="M223" s="80">
        <f t="shared" ref="M223" si="121">+K223+L223</f>
        <v>7400000</v>
      </c>
      <c r="N223" s="171">
        <f>+M223/F223</f>
        <v>0.33636363636363636</v>
      </c>
      <c r="O223" s="15">
        <f>+F223-M223</f>
        <v>14600000</v>
      </c>
      <c r="P223" s="77"/>
      <c r="Q223" s="6" t="str">
        <f t="shared" si="107"/>
        <v>OKE</v>
      </c>
      <c r="R223" s="6"/>
    </row>
    <row r="224" spans="1:19" ht="14.1" customHeight="1" x14ac:dyDescent="0.2">
      <c r="A224" s="74"/>
      <c r="B224" s="28"/>
      <c r="C224" s="27"/>
      <c r="D224" s="13"/>
      <c r="E224" s="14"/>
      <c r="F224" s="13"/>
      <c r="G224" s="78"/>
      <c r="H224" s="79"/>
      <c r="I224" s="15"/>
      <c r="J224" s="143"/>
      <c r="K224" s="78"/>
      <c r="L224" s="80"/>
      <c r="M224" s="80"/>
      <c r="N224" s="171"/>
      <c r="O224" s="15"/>
      <c r="P224" s="77"/>
      <c r="Q224" s="6"/>
      <c r="R224" s="6"/>
    </row>
    <row r="225" spans="1:18" ht="14.1" customHeight="1" x14ac:dyDescent="0.2">
      <c r="A225" s="74">
        <v>9</v>
      </c>
      <c r="B225" s="28" t="s">
        <v>175</v>
      </c>
      <c r="C225" s="276" t="s">
        <v>176</v>
      </c>
      <c r="D225" s="13">
        <v>1000000000</v>
      </c>
      <c r="E225" s="14"/>
      <c r="F225" s="13">
        <f>+D225+E225</f>
        <v>1000000000</v>
      </c>
      <c r="G225" s="80">
        <f>+mei!I225</f>
        <v>493384839</v>
      </c>
      <c r="H225" s="79">
        <f>1765817+10718800+73652780+10002000</f>
        <v>96139397</v>
      </c>
      <c r="I225" s="15">
        <f t="shared" si="120"/>
        <v>589524236</v>
      </c>
      <c r="J225" s="143">
        <f>+I225/F225</f>
        <v>0.58952423600000003</v>
      </c>
      <c r="K225" s="80">
        <f>+mei!M225</f>
        <v>493384839</v>
      </c>
      <c r="L225" s="80">
        <f>1765817+10718800+73652780+10002000</f>
        <v>96139397</v>
      </c>
      <c r="M225" s="80">
        <f>+K225+L225</f>
        <v>589524236</v>
      </c>
      <c r="N225" s="171">
        <f>+M225/F225</f>
        <v>0.58952423600000003</v>
      </c>
      <c r="O225" s="15">
        <f>+F225-M225</f>
        <v>410475764</v>
      </c>
      <c r="P225" s="77"/>
      <c r="Q225" s="6" t="str">
        <f>IF(M225&lt;=I225,"OKE","Salah")</f>
        <v>OKE</v>
      </c>
      <c r="R225" s="6"/>
    </row>
    <row r="226" spans="1:18" ht="14.1" customHeight="1" x14ac:dyDescent="0.2">
      <c r="A226" s="74"/>
      <c r="B226" s="29"/>
      <c r="C226" s="27"/>
      <c r="D226" s="13"/>
      <c r="E226" s="14"/>
      <c r="F226" s="13"/>
      <c r="G226" s="78"/>
      <c r="H226" s="79"/>
      <c r="I226" s="15"/>
      <c r="J226" s="143"/>
      <c r="K226" s="80"/>
      <c r="L226" s="80"/>
      <c r="M226" s="80"/>
      <c r="N226" s="171"/>
      <c r="O226" s="15"/>
      <c r="P226" s="77"/>
      <c r="Q226" s="6"/>
      <c r="R226" s="6"/>
    </row>
    <row r="227" spans="1:18" ht="14.1" customHeight="1" x14ac:dyDescent="0.2">
      <c r="A227" s="81"/>
      <c r="B227" s="81"/>
      <c r="C227" s="23" t="s">
        <v>172</v>
      </c>
      <c r="D227" s="24">
        <f>+D223+D225</f>
        <v>1022000000</v>
      </c>
      <c r="E227" s="24">
        <f>SUM(E223:E226)</f>
        <v>0</v>
      </c>
      <c r="F227" s="141">
        <f>SUM(F223:F226)</f>
        <v>1022000000</v>
      </c>
      <c r="G227" s="24">
        <f t="shared" ref="G227:H227" si="122">+G223+G225</f>
        <v>498784839</v>
      </c>
      <c r="H227" s="24">
        <f t="shared" si="122"/>
        <v>98139397</v>
      </c>
      <c r="I227" s="24">
        <f>+G227+H227</f>
        <v>596924236</v>
      </c>
      <c r="J227" s="175">
        <f>+I227/F227</f>
        <v>0.58407459491193736</v>
      </c>
      <c r="K227" s="24">
        <f>SUM(K223:K226)</f>
        <v>498784839</v>
      </c>
      <c r="L227" s="24">
        <f>SUM(L223:L226)</f>
        <v>98139397</v>
      </c>
      <c r="M227" s="24">
        <f>+K227+L227</f>
        <v>596924236</v>
      </c>
      <c r="N227" s="172">
        <f>+M227/F227</f>
        <v>0.58407459491193736</v>
      </c>
      <c r="O227" s="24">
        <f>+F227-M227</f>
        <v>425075764</v>
      </c>
      <c r="P227" s="77"/>
      <c r="Q227" s="6" t="str">
        <f t="shared" si="107"/>
        <v>OKE</v>
      </c>
      <c r="R227" s="6"/>
    </row>
    <row r="228" spans="1:18" ht="15" customHeight="1" x14ac:dyDescent="0.2">
      <c r="A228" s="87"/>
      <c r="B228" s="87"/>
      <c r="C228" s="148"/>
      <c r="D228" s="149"/>
      <c r="E228" s="149"/>
      <c r="F228" s="149"/>
      <c r="G228" s="149"/>
      <c r="H228" s="149"/>
      <c r="I228" s="149"/>
      <c r="J228" s="177"/>
      <c r="K228" s="149"/>
      <c r="L228" s="149"/>
      <c r="M228" s="149"/>
      <c r="N228" s="174"/>
      <c r="O228" s="149"/>
      <c r="P228" s="77"/>
      <c r="Q228" s="6"/>
      <c r="R228" s="6"/>
    </row>
    <row r="229" spans="1:18" ht="15" customHeight="1" x14ac:dyDescent="0.2">
      <c r="A229" s="206"/>
      <c r="B229" s="206" t="s">
        <v>179</v>
      </c>
      <c r="C229" s="282" t="s">
        <v>178</v>
      </c>
      <c r="D229" s="209">
        <f>+D237</f>
        <v>2410000000</v>
      </c>
      <c r="E229" s="10">
        <f t="shared" ref="E229:F229" si="123">+E237</f>
        <v>0</v>
      </c>
      <c r="F229" s="10">
        <f t="shared" si="123"/>
        <v>2410000000</v>
      </c>
      <c r="G229" s="10">
        <f>+G237</f>
        <v>634937500</v>
      </c>
      <c r="H229" s="11">
        <f>+H237</f>
        <v>150851574</v>
      </c>
      <c r="I229" s="10">
        <f>+G229+H229</f>
        <v>785789074</v>
      </c>
      <c r="J229" s="168">
        <f>+I229/F229</f>
        <v>0.32605355767634853</v>
      </c>
      <c r="K229" s="10">
        <f>+K237</f>
        <v>634937500</v>
      </c>
      <c r="L229" s="10">
        <f>+L237</f>
        <v>150851574</v>
      </c>
      <c r="M229" s="10">
        <f>+K229+L229</f>
        <v>785789074</v>
      </c>
      <c r="N229" s="169">
        <f>+M229/F229</f>
        <v>0.32605355767634853</v>
      </c>
      <c r="O229" s="10">
        <f>+F229-M229</f>
        <v>1624210926</v>
      </c>
      <c r="P229" s="77"/>
      <c r="Q229" s="6" t="str">
        <f t="shared" ref="Q229:Q237" si="124">IF(M229&lt;=I229,"OKE","Salah")</f>
        <v>OKE</v>
      </c>
      <c r="R229" s="6"/>
    </row>
    <row r="230" spans="1:18" ht="15" customHeight="1" x14ac:dyDescent="0.2">
      <c r="A230" s="74"/>
      <c r="B230" s="74"/>
      <c r="C230" s="76"/>
      <c r="D230" s="15"/>
      <c r="E230" s="15"/>
      <c r="F230" s="15"/>
      <c r="G230" s="80"/>
      <c r="H230" s="79"/>
      <c r="I230" s="80"/>
      <c r="J230" s="86"/>
      <c r="K230" s="80"/>
      <c r="L230" s="76"/>
      <c r="M230" s="76"/>
      <c r="N230" s="86"/>
      <c r="O230" s="10"/>
      <c r="P230" s="77"/>
      <c r="Q230" s="6"/>
      <c r="R230" s="6"/>
    </row>
    <row r="231" spans="1:18" ht="28.5" customHeight="1" x14ac:dyDescent="0.2">
      <c r="A231" s="74">
        <v>10</v>
      </c>
      <c r="B231" s="207" t="s">
        <v>181</v>
      </c>
      <c r="C231" s="276" t="s">
        <v>180</v>
      </c>
      <c r="D231" s="213">
        <v>910000000</v>
      </c>
      <c r="E231" s="14"/>
      <c r="F231" s="13">
        <f>+D231+E231</f>
        <v>910000000</v>
      </c>
      <c r="G231" s="80">
        <f>+mei!I231</f>
        <v>290636100</v>
      </c>
      <c r="H231" s="79">
        <f>24397500+32182830+42004244</f>
        <v>98584574</v>
      </c>
      <c r="I231" s="15">
        <f>+G231+H231</f>
        <v>389220674</v>
      </c>
      <c r="J231" s="143">
        <f>+I231/F231</f>
        <v>0.42771502637362635</v>
      </c>
      <c r="K231" s="80">
        <f>+mei!M231</f>
        <v>290636100</v>
      </c>
      <c r="L231" s="80">
        <f>24397500+32182830+42004244</f>
        <v>98584574</v>
      </c>
      <c r="M231" s="80">
        <f>+K231+L231</f>
        <v>389220674</v>
      </c>
      <c r="N231" s="171">
        <f>+M231/F231</f>
        <v>0.42771502637362635</v>
      </c>
      <c r="O231" s="15">
        <f>+F231-M231</f>
        <v>520779326</v>
      </c>
      <c r="P231" s="77"/>
      <c r="Q231" s="6" t="str">
        <f t="shared" ref="Q231" si="125">IF(M231&lt;=I231,"OKE","Salah")</f>
        <v>OKE</v>
      </c>
      <c r="R231" s="6"/>
    </row>
    <row r="232" spans="1:18" ht="15" customHeight="1" x14ac:dyDescent="0.2">
      <c r="A232" s="74"/>
      <c r="B232" s="74"/>
      <c r="C232" s="83"/>
      <c r="D232" s="15"/>
      <c r="E232" s="17"/>
      <c r="F232" s="15"/>
      <c r="G232" s="78"/>
      <c r="H232" s="79"/>
      <c r="I232" s="80"/>
      <c r="J232" s="86"/>
      <c r="K232" s="78"/>
      <c r="L232" s="76"/>
      <c r="M232" s="76"/>
      <c r="N232" s="86"/>
      <c r="O232" s="10"/>
      <c r="P232" s="77"/>
      <c r="Q232" s="6"/>
      <c r="R232" s="6"/>
    </row>
    <row r="233" spans="1:18" ht="30.75" customHeight="1" x14ac:dyDescent="0.2">
      <c r="A233" s="74">
        <v>11</v>
      </c>
      <c r="B233" s="220" t="s">
        <v>209</v>
      </c>
      <c r="C233" s="274" t="s">
        <v>208</v>
      </c>
      <c r="D233" s="13">
        <v>1000000000</v>
      </c>
      <c r="E233" s="14"/>
      <c r="F233" s="13">
        <f>E233+D233</f>
        <v>1000000000</v>
      </c>
      <c r="G233" s="80">
        <f>+mei!I233</f>
        <v>210316400</v>
      </c>
      <c r="H233" s="79">
        <v>36897750</v>
      </c>
      <c r="I233" s="15">
        <f>+G233+H233</f>
        <v>247214150</v>
      </c>
      <c r="J233" s="143">
        <f>+I233/F233</f>
        <v>0.24721414999999999</v>
      </c>
      <c r="K233" s="80">
        <f>+mei!M233</f>
        <v>210316400</v>
      </c>
      <c r="L233" s="80">
        <v>36897750</v>
      </c>
      <c r="M233" s="80">
        <f>+K233+L233</f>
        <v>247214150</v>
      </c>
      <c r="N233" s="171">
        <f>+M233/D233</f>
        <v>0.24721414999999999</v>
      </c>
      <c r="O233" s="15">
        <f>+F233-M233</f>
        <v>752785850</v>
      </c>
      <c r="P233" s="83"/>
      <c r="Q233" s="6" t="str">
        <f t="shared" ref="Q233" si="126">IF(M233&lt;=I233,"OKE","Salah")</f>
        <v>OKE</v>
      </c>
      <c r="R233" s="6"/>
    </row>
    <row r="234" spans="1:18" ht="15" customHeight="1" x14ac:dyDescent="0.2">
      <c r="A234" s="74"/>
      <c r="B234" s="218"/>
      <c r="C234" s="25"/>
      <c r="D234" s="13"/>
      <c r="E234" s="14"/>
      <c r="F234" s="13"/>
      <c r="G234" s="78"/>
      <c r="H234" s="79"/>
      <c r="I234" s="15"/>
      <c r="J234" s="143"/>
      <c r="K234" s="78"/>
      <c r="L234" s="80"/>
      <c r="M234" s="80"/>
      <c r="N234" s="171"/>
      <c r="O234" s="15"/>
      <c r="P234" s="83"/>
      <c r="Q234" s="6"/>
      <c r="R234" s="6"/>
    </row>
    <row r="235" spans="1:18" ht="30.75" customHeight="1" x14ac:dyDescent="0.2">
      <c r="A235" s="74">
        <v>12</v>
      </c>
      <c r="B235" s="220" t="s">
        <v>211</v>
      </c>
      <c r="C235" s="275" t="s">
        <v>210</v>
      </c>
      <c r="D235" s="15">
        <v>500000000</v>
      </c>
      <c r="E235" s="15"/>
      <c r="F235" s="13">
        <f>E235+D235</f>
        <v>500000000</v>
      </c>
      <c r="G235" s="80">
        <f>+mei!I235</f>
        <v>133985000</v>
      </c>
      <c r="H235" s="79">
        <v>15369250</v>
      </c>
      <c r="I235" s="15">
        <f>+G235+H235</f>
        <v>149354250</v>
      </c>
      <c r="J235" s="143">
        <f>+I235/F235</f>
        <v>0.29870849999999999</v>
      </c>
      <c r="K235" s="80">
        <f>+mei!M235</f>
        <v>133985000</v>
      </c>
      <c r="L235" s="80">
        <v>15369250</v>
      </c>
      <c r="M235" s="80">
        <f>+K235+L235</f>
        <v>149354250</v>
      </c>
      <c r="N235" s="171">
        <f>+M235/D235</f>
        <v>0.29870849999999999</v>
      </c>
      <c r="O235" s="15">
        <f>+F235-M235</f>
        <v>350645750</v>
      </c>
      <c r="P235" s="83"/>
      <c r="Q235" s="6" t="str">
        <f t="shared" ref="Q235" si="127">IF(M235&lt;=I235,"OKE","Salah")</f>
        <v>OKE</v>
      </c>
      <c r="R235" s="6"/>
    </row>
    <row r="236" spans="1:18" ht="15" customHeight="1" x14ac:dyDescent="0.2">
      <c r="A236" s="74"/>
      <c r="B236" s="74"/>
      <c r="C236" s="83"/>
      <c r="D236" s="15"/>
      <c r="E236" s="17"/>
      <c r="F236" s="15"/>
      <c r="G236" s="78"/>
      <c r="H236" s="79"/>
      <c r="I236" s="80"/>
      <c r="J236" s="86"/>
      <c r="K236" s="78"/>
      <c r="L236" s="76"/>
      <c r="M236" s="76"/>
      <c r="N236" s="86"/>
      <c r="O236" s="10"/>
      <c r="P236" s="77"/>
      <c r="Q236" s="6"/>
      <c r="R236" s="6"/>
    </row>
    <row r="237" spans="1:18" ht="18.75" customHeight="1" x14ac:dyDescent="0.2">
      <c r="A237" s="139"/>
      <c r="B237" s="139"/>
      <c r="C237" s="140" t="s">
        <v>172</v>
      </c>
      <c r="D237" s="141">
        <f>+D231+D233+D235</f>
        <v>2410000000</v>
      </c>
      <c r="E237" s="141">
        <f>+E231</f>
        <v>0</v>
      </c>
      <c r="F237" s="141">
        <f>+D237+E237</f>
        <v>2410000000</v>
      </c>
      <c r="G237" s="141">
        <f>+G231+G233+G235</f>
        <v>634937500</v>
      </c>
      <c r="H237" s="141">
        <f>+H231+H233+H235</f>
        <v>150851574</v>
      </c>
      <c r="I237" s="141">
        <f>+G237+H237</f>
        <v>785789074</v>
      </c>
      <c r="J237" s="176">
        <f>+I237/F237</f>
        <v>0.32605355767634853</v>
      </c>
      <c r="K237" s="141">
        <f>+K231+K233+K235</f>
        <v>634937500</v>
      </c>
      <c r="L237" s="141">
        <f>+L231+L233+L235</f>
        <v>150851574</v>
      </c>
      <c r="M237" s="141">
        <f>+K237+L237</f>
        <v>785789074</v>
      </c>
      <c r="N237" s="173">
        <f>+M237/F237</f>
        <v>0.32605355767634853</v>
      </c>
      <c r="O237" s="141">
        <f>+F237-M237</f>
        <v>1624210926</v>
      </c>
      <c r="P237" s="77"/>
      <c r="Q237" s="6" t="str">
        <f t="shared" si="124"/>
        <v>OKE</v>
      </c>
      <c r="R237" s="6"/>
    </row>
    <row r="238" spans="1:18" ht="15.95" customHeight="1" x14ac:dyDescent="0.2">
      <c r="A238" s="87"/>
      <c r="B238" s="182"/>
      <c r="C238" s="4"/>
      <c r="D238" s="183"/>
      <c r="E238" s="183"/>
      <c r="F238" s="183"/>
      <c r="G238" s="256"/>
      <c r="H238" s="257"/>
      <c r="I238" s="184"/>
      <c r="J238" s="185"/>
      <c r="K238" s="256"/>
      <c r="L238" s="256"/>
      <c r="M238" s="256"/>
      <c r="N238" s="186"/>
      <c r="O238" s="184"/>
      <c r="P238" s="77"/>
      <c r="Q238" s="6"/>
      <c r="R238" s="6"/>
    </row>
    <row r="239" spans="1:18" ht="15.95" customHeight="1" x14ac:dyDescent="0.2">
      <c r="A239" s="74"/>
      <c r="B239" s="214" t="s">
        <v>304</v>
      </c>
      <c r="C239" s="208" t="s">
        <v>277</v>
      </c>
      <c r="D239" s="178">
        <f>+D241</f>
        <v>1017000000</v>
      </c>
      <c r="E239" s="14"/>
      <c r="F239" s="178">
        <f>+D239+E239</f>
        <v>1017000000</v>
      </c>
      <c r="G239" s="178">
        <f t="shared" ref="G239:H239" si="128">+G241+G249</f>
        <v>360187500</v>
      </c>
      <c r="H239" s="178">
        <f t="shared" si="128"/>
        <v>72037500</v>
      </c>
      <c r="I239" s="10">
        <f>+G239+H239</f>
        <v>432225000</v>
      </c>
      <c r="J239" s="168">
        <f>+I239/F239</f>
        <v>0.42499999999999999</v>
      </c>
      <c r="K239" s="178">
        <f t="shared" ref="K239:L239" si="129">+K241+K249</f>
        <v>360187500</v>
      </c>
      <c r="L239" s="178">
        <f t="shared" si="129"/>
        <v>72037500</v>
      </c>
      <c r="M239" s="180">
        <f>+K239+L239</f>
        <v>432225000</v>
      </c>
      <c r="N239" s="169">
        <f>+M239/F239</f>
        <v>0.42499999999999999</v>
      </c>
      <c r="O239" s="10">
        <f>+F239-M239</f>
        <v>584775000</v>
      </c>
      <c r="P239" s="83"/>
      <c r="Q239" s="6" t="str">
        <f t="shared" ref="Q239" si="130">IF(M239&lt;=I239,"OKE","Salah")</f>
        <v>OKE</v>
      </c>
      <c r="R239" s="6"/>
    </row>
    <row r="240" spans="1:18" ht="15.95" customHeight="1" x14ac:dyDescent="0.2">
      <c r="A240" s="74"/>
      <c r="B240" s="74"/>
      <c r="C240" s="76"/>
      <c r="D240" s="15"/>
      <c r="E240" s="15"/>
      <c r="F240" s="15"/>
      <c r="G240" s="80"/>
      <c r="H240" s="79"/>
      <c r="I240" s="80"/>
      <c r="J240" s="86"/>
      <c r="K240" s="80"/>
      <c r="L240" s="76"/>
      <c r="M240" s="76"/>
      <c r="N240" s="86"/>
      <c r="O240" s="10"/>
      <c r="P240" s="83"/>
      <c r="Q240" s="6"/>
      <c r="R240" s="6"/>
    </row>
    <row r="241" spans="1:19" ht="27" customHeight="1" x14ac:dyDescent="0.2">
      <c r="A241" s="74">
        <v>11</v>
      </c>
      <c r="B241" s="29" t="s">
        <v>303</v>
      </c>
      <c r="C241" s="219" t="s">
        <v>312</v>
      </c>
      <c r="D241" s="13">
        <v>1017000000</v>
      </c>
      <c r="E241" s="14"/>
      <c r="F241" s="13">
        <f>+D241+E241</f>
        <v>1017000000</v>
      </c>
      <c r="G241" s="80">
        <f>+mei!I241</f>
        <v>360187500</v>
      </c>
      <c r="H241" s="79">
        <v>72037500</v>
      </c>
      <c r="I241" s="15">
        <f>+G241+H241</f>
        <v>432225000</v>
      </c>
      <c r="J241" s="143">
        <f>+I241/F241</f>
        <v>0.42499999999999999</v>
      </c>
      <c r="K241" s="80">
        <f>+mei!M241</f>
        <v>360187500</v>
      </c>
      <c r="L241" s="80">
        <v>72037500</v>
      </c>
      <c r="M241" s="80">
        <f>+K241+L241</f>
        <v>432225000</v>
      </c>
      <c r="N241" s="171">
        <f>+M241/F241</f>
        <v>0.42499999999999999</v>
      </c>
      <c r="O241" s="15">
        <f>+F241-M241</f>
        <v>584775000</v>
      </c>
      <c r="P241" s="83"/>
      <c r="Q241" s="6" t="str">
        <f t="shared" ref="Q241" si="131">IF(M241&lt;=I241,"OKE","Salah")</f>
        <v>OKE</v>
      </c>
      <c r="R241" s="6"/>
    </row>
    <row r="242" spans="1:19" ht="16.5" customHeight="1" x14ac:dyDescent="0.2">
      <c r="A242" s="74"/>
      <c r="B242" s="29"/>
      <c r="C242" s="219"/>
      <c r="D242" s="13"/>
      <c r="E242" s="14"/>
      <c r="F242" s="13"/>
      <c r="G242" s="78"/>
      <c r="H242" s="79"/>
      <c r="I242" s="15"/>
      <c r="J242" s="143"/>
      <c r="K242" s="78"/>
      <c r="L242" s="80"/>
      <c r="M242" s="80"/>
      <c r="N242" s="171"/>
      <c r="O242" s="15"/>
      <c r="P242" s="77"/>
      <c r="Q242" s="6"/>
      <c r="R242" s="6"/>
    </row>
    <row r="243" spans="1:19" ht="17.25" customHeight="1" x14ac:dyDescent="0.2">
      <c r="A243" s="139"/>
      <c r="B243" s="139"/>
      <c r="C243" s="140" t="s">
        <v>172</v>
      </c>
      <c r="D243" s="141">
        <f>+D241</f>
        <v>1017000000</v>
      </c>
      <c r="E243" s="141">
        <f>+E241</f>
        <v>0</v>
      </c>
      <c r="F243" s="141">
        <f>+F241</f>
        <v>1017000000</v>
      </c>
      <c r="G243" s="141">
        <f t="shared" ref="G243:H243" si="132">+G241</f>
        <v>360187500</v>
      </c>
      <c r="H243" s="141">
        <f t="shared" si="132"/>
        <v>72037500</v>
      </c>
      <c r="I243" s="141">
        <f>+G243+H243</f>
        <v>432225000</v>
      </c>
      <c r="J243" s="176">
        <f>+I243/F243</f>
        <v>0.42499999999999999</v>
      </c>
      <c r="K243" s="141">
        <f>+K241</f>
        <v>360187500</v>
      </c>
      <c r="L243" s="141">
        <f>+L241</f>
        <v>72037500</v>
      </c>
      <c r="M243" s="141">
        <f>+K243+L243</f>
        <v>432225000</v>
      </c>
      <c r="N243" s="173">
        <f>+M243/F243</f>
        <v>0.42499999999999999</v>
      </c>
      <c r="O243" s="141">
        <f>+F243-M243</f>
        <v>584775000</v>
      </c>
      <c r="P243" s="77"/>
      <c r="Q243" s="6" t="str">
        <f t="shared" ref="Q243" si="133">IF(M243&lt;=I243,"OKE","Salah")</f>
        <v>OKE</v>
      </c>
      <c r="R243" s="6"/>
    </row>
    <row r="244" spans="1:19" ht="15.95" customHeight="1" x14ac:dyDescent="0.2">
      <c r="A244" s="74"/>
      <c r="B244" s="29"/>
      <c r="C244" s="8"/>
      <c r="D244" s="13"/>
      <c r="E244" s="13"/>
      <c r="F244" s="13"/>
      <c r="G244" s="80"/>
      <c r="H244" s="79"/>
      <c r="I244" s="15"/>
      <c r="J244" s="143"/>
      <c r="K244" s="80"/>
      <c r="L244" s="80"/>
      <c r="M244" s="80"/>
      <c r="N244" s="171"/>
      <c r="O244" s="15"/>
      <c r="P244" s="77"/>
      <c r="Q244" s="6"/>
      <c r="R244" s="6"/>
    </row>
    <row r="245" spans="1:19" ht="15.95" customHeight="1" x14ac:dyDescent="0.2">
      <c r="A245" s="74"/>
      <c r="B245" s="29"/>
      <c r="C245" s="8"/>
      <c r="D245" s="13"/>
      <c r="E245" s="13"/>
      <c r="F245" s="13"/>
      <c r="G245" s="80"/>
      <c r="H245" s="79"/>
      <c r="I245" s="15"/>
      <c r="J245" s="143"/>
      <c r="K245" s="80"/>
      <c r="L245" s="80"/>
      <c r="M245" s="80"/>
      <c r="N245" s="171"/>
      <c r="O245" s="15"/>
      <c r="P245" s="77"/>
      <c r="Q245" s="6"/>
      <c r="R245" s="6"/>
    </row>
    <row r="246" spans="1:19" ht="23.25" customHeight="1" x14ac:dyDescent="0.2">
      <c r="A246" s="7"/>
      <c r="B246" s="206" t="s">
        <v>183</v>
      </c>
      <c r="C246" s="346" t="s">
        <v>182</v>
      </c>
      <c r="D246" s="10">
        <f>+D248+D250</f>
        <v>2300000000</v>
      </c>
      <c r="E246" s="10">
        <f t="shared" ref="E246:F246" si="134">+E248+E250</f>
        <v>0</v>
      </c>
      <c r="F246" s="10">
        <f t="shared" si="134"/>
        <v>2300000000</v>
      </c>
      <c r="G246" s="10">
        <f t="shared" ref="G246:H246" si="135">+G252</f>
        <v>691392857</v>
      </c>
      <c r="H246" s="11">
        <f t="shared" si="135"/>
        <v>188667893</v>
      </c>
      <c r="I246" s="10">
        <f>+G246+H246</f>
        <v>880060750</v>
      </c>
      <c r="J246" s="168">
        <f>+I246/F246</f>
        <v>0.38263510869565215</v>
      </c>
      <c r="K246" s="10">
        <f t="shared" ref="K246:L246" si="136">+K248+K250</f>
        <v>689083125</v>
      </c>
      <c r="L246" s="10">
        <f t="shared" si="136"/>
        <v>189876780</v>
      </c>
      <c r="M246" s="10">
        <f>+K246+L246</f>
        <v>878959905</v>
      </c>
      <c r="N246" s="169">
        <f>+M246/F246</f>
        <v>0.38215648043478262</v>
      </c>
      <c r="O246" s="10">
        <f>+F246-M246</f>
        <v>1421040095</v>
      </c>
      <c r="P246" s="77"/>
      <c r="Q246" s="6" t="str">
        <f t="shared" ref="Q246:Q309" si="137">IF(M246&lt;=I246,"OKE","Salah")</f>
        <v>OKE</v>
      </c>
      <c r="R246" s="6"/>
    </row>
    <row r="247" spans="1:19" ht="15.95" customHeight="1" x14ac:dyDescent="0.2">
      <c r="A247" s="74"/>
      <c r="B247" s="74"/>
      <c r="C247" s="76"/>
      <c r="D247" s="15"/>
      <c r="E247" s="15"/>
      <c r="F247" s="15"/>
      <c r="G247" s="80"/>
      <c r="H247" s="79"/>
      <c r="I247" s="80"/>
      <c r="J247" s="86"/>
      <c r="K247" s="80"/>
      <c r="L247" s="76"/>
      <c r="M247" s="76"/>
      <c r="N247" s="86"/>
      <c r="O247" s="10"/>
      <c r="P247" s="77"/>
      <c r="Q247" s="6"/>
      <c r="R247" s="6"/>
    </row>
    <row r="248" spans="1:19" ht="15.95" customHeight="1" x14ac:dyDescent="0.2">
      <c r="A248" s="74">
        <v>12</v>
      </c>
      <c r="B248" s="207" t="s">
        <v>185</v>
      </c>
      <c r="C248" s="457" t="s">
        <v>184</v>
      </c>
      <c r="D248" s="13">
        <v>2100000000</v>
      </c>
      <c r="E248" s="14"/>
      <c r="F248" s="13">
        <f>+D248+E248</f>
        <v>2100000000</v>
      </c>
      <c r="G248" s="80">
        <f>+mei!I248</f>
        <v>631359857</v>
      </c>
      <c r="H248" s="79">
        <f>48524579+97873514</f>
        <v>146398093</v>
      </c>
      <c r="I248" s="15">
        <f>+G248+H248</f>
        <v>777757950</v>
      </c>
      <c r="J248" s="143">
        <f>+I248/F248</f>
        <v>0.37036092857142855</v>
      </c>
      <c r="K248" s="80">
        <f>+mei!M248</f>
        <v>629050125</v>
      </c>
      <c r="L248" s="80">
        <f>48524579+99082401</f>
        <v>147606980</v>
      </c>
      <c r="M248" s="80">
        <f>+K248+L248</f>
        <v>776657105</v>
      </c>
      <c r="N248" s="171">
        <f>+M248/F248</f>
        <v>0.36983671666666668</v>
      </c>
      <c r="O248" s="15">
        <f>+F248-M248</f>
        <v>1323342895</v>
      </c>
      <c r="P248" s="77"/>
      <c r="Q248" s="6" t="str">
        <f t="shared" si="137"/>
        <v>OKE</v>
      </c>
      <c r="R248" s="6"/>
    </row>
    <row r="249" spans="1:19" ht="21" customHeight="1" x14ac:dyDescent="0.2">
      <c r="A249" s="74"/>
      <c r="B249" s="29"/>
      <c r="C249" s="457"/>
      <c r="D249" s="13"/>
      <c r="E249" s="14"/>
      <c r="F249" s="13"/>
      <c r="G249" s="78"/>
      <c r="H249" s="79"/>
      <c r="I249" s="15"/>
      <c r="J249" s="143"/>
      <c r="K249" s="80"/>
      <c r="L249" s="80"/>
      <c r="M249" s="80"/>
      <c r="N249" s="171"/>
      <c r="O249" s="15"/>
      <c r="P249" s="77"/>
      <c r="Q249" s="6"/>
      <c r="R249" s="6"/>
    </row>
    <row r="250" spans="1:19" ht="30.75" customHeight="1" x14ac:dyDescent="0.2">
      <c r="A250" s="74">
        <v>13</v>
      </c>
      <c r="B250" s="207" t="s">
        <v>186</v>
      </c>
      <c r="C250" s="276" t="s">
        <v>187</v>
      </c>
      <c r="D250" s="213">
        <v>200000000</v>
      </c>
      <c r="E250" s="14"/>
      <c r="F250" s="13">
        <f>+D250+E250</f>
        <v>200000000</v>
      </c>
      <c r="G250" s="80">
        <f>+mei!I250</f>
        <v>60033000</v>
      </c>
      <c r="H250" s="79">
        <f>33884500+8385300</f>
        <v>42269800</v>
      </c>
      <c r="I250" s="15">
        <f>+G250+H250</f>
        <v>102302800</v>
      </c>
      <c r="J250" s="143">
        <f>+I250/F250</f>
        <v>0.51151400000000002</v>
      </c>
      <c r="K250" s="80">
        <f>+mei!M250</f>
        <v>60033000</v>
      </c>
      <c r="L250" s="80">
        <f>33884500+8385300</f>
        <v>42269800</v>
      </c>
      <c r="M250" s="80">
        <f>+K250+L250</f>
        <v>102302800</v>
      </c>
      <c r="N250" s="171">
        <f>+M250/F250</f>
        <v>0.51151400000000002</v>
      </c>
      <c r="O250" s="15">
        <f>+F250-M250</f>
        <v>97697200</v>
      </c>
      <c r="P250" s="77"/>
      <c r="Q250" s="6" t="str">
        <f t="shared" ref="Q250" si="138">IF(M250&lt;=I250,"OKE","Salah")</f>
        <v>OKE</v>
      </c>
      <c r="R250" s="6"/>
    </row>
    <row r="251" spans="1:19" ht="15.95" customHeight="1" x14ac:dyDescent="0.2">
      <c r="A251" s="74"/>
      <c r="B251" s="74"/>
      <c r="C251" s="76"/>
      <c r="D251" s="15"/>
      <c r="E251" s="15"/>
      <c r="F251" s="15"/>
      <c r="G251" s="80"/>
      <c r="H251" s="79"/>
      <c r="I251" s="80"/>
      <c r="J251" s="86"/>
      <c r="K251" s="80"/>
      <c r="L251" s="76"/>
      <c r="M251" s="76"/>
      <c r="N251" s="86"/>
      <c r="O251" s="10"/>
      <c r="P251" s="77"/>
      <c r="Q251" s="6"/>
      <c r="R251" s="6"/>
      <c r="S251" s="309">
        <f>+S464+S468</f>
        <v>3131091372</v>
      </c>
    </row>
    <row r="252" spans="1:19" ht="20.25" customHeight="1" x14ac:dyDescent="0.2">
      <c r="A252" s="139"/>
      <c r="B252" s="139"/>
      <c r="C252" s="140" t="s">
        <v>113</v>
      </c>
      <c r="D252" s="141">
        <f>SUM(D248:D250)</f>
        <v>2300000000</v>
      </c>
      <c r="E252" s="141">
        <f t="shared" ref="E252" si="139">SUM(E248:E250)</f>
        <v>0</v>
      </c>
      <c r="F252" s="141">
        <f>+D252+E252</f>
        <v>2300000000</v>
      </c>
      <c r="G252" s="141">
        <f>SUM(G248:G250)</f>
        <v>691392857</v>
      </c>
      <c r="H252" s="141">
        <f>SUM(H248:H250)</f>
        <v>188667893</v>
      </c>
      <c r="I252" s="141">
        <f>+G252+H252</f>
        <v>880060750</v>
      </c>
      <c r="J252" s="176">
        <f>+I252/F252</f>
        <v>0.38263510869565215</v>
      </c>
      <c r="K252" s="141">
        <f t="shared" ref="K252:L252" si="140">SUM(K248:K250)</f>
        <v>689083125</v>
      </c>
      <c r="L252" s="141">
        <f t="shared" si="140"/>
        <v>189876780</v>
      </c>
      <c r="M252" s="141">
        <f>+M248</f>
        <v>776657105</v>
      </c>
      <c r="N252" s="173">
        <f>+M252/F252</f>
        <v>0.33767700217391305</v>
      </c>
      <c r="O252" s="141">
        <f>+D252-M252</f>
        <v>1523342895</v>
      </c>
      <c r="P252" s="77"/>
      <c r="Q252" s="6" t="str">
        <f t="shared" si="137"/>
        <v>OKE</v>
      </c>
      <c r="R252" s="6"/>
    </row>
    <row r="253" spans="1:19" ht="8.25" customHeight="1" x14ac:dyDescent="0.2">
      <c r="A253" s="74"/>
      <c r="B253" s="74"/>
      <c r="C253" s="9"/>
      <c r="D253" s="10"/>
      <c r="E253" s="10"/>
      <c r="F253" s="10"/>
      <c r="G253" s="10"/>
      <c r="H253" s="10"/>
      <c r="I253" s="10"/>
      <c r="J253" s="168"/>
      <c r="K253" s="10"/>
      <c r="L253" s="10"/>
      <c r="M253" s="10"/>
      <c r="N253" s="169"/>
      <c r="O253" s="10"/>
      <c r="P253" s="77"/>
      <c r="Q253" s="6"/>
      <c r="R253" s="6"/>
    </row>
    <row r="254" spans="1:19" ht="15.95" customHeight="1" x14ac:dyDescent="0.2">
      <c r="A254" s="74"/>
      <c r="B254" s="74"/>
      <c r="C254" s="9"/>
      <c r="D254" s="10"/>
      <c r="E254" s="10"/>
      <c r="F254" s="10"/>
      <c r="G254" s="10"/>
      <c r="H254" s="11"/>
      <c r="I254" s="10"/>
      <c r="J254" s="176"/>
      <c r="K254" s="10"/>
      <c r="L254" s="10"/>
      <c r="M254" s="10"/>
      <c r="N254" s="169"/>
      <c r="O254" s="10"/>
      <c r="P254" s="77"/>
      <c r="Q254" s="6"/>
      <c r="R254" s="6"/>
      <c r="S254" s="190">
        <f>+S464+S468</f>
        <v>3131091372</v>
      </c>
    </row>
    <row r="255" spans="1:19" ht="11.25" customHeight="1" x14ac:dyDescent="0.2">
      <c r="A255" s="388"/>
      <c r="B255" s="388"/>
      <c r="C255" s="395" t="s">
        <v>76</v>
      </c>
      <c r="D255" s="364">
        <f>+D205+D219+D227+D237+D243+D252</f>
        <v>12180425000</v>
      </c>
      <c r="E255" s="364">
        <f>+E219+E227+E237+E252</f>
        <v>0</v>
      </c>
      <c r="F255" s="364">
        <f>+D255+E255</f>
        <v>12180425000</v>
      </c>
      <c r="G255" s="455">
        <f>+G205+G219+G227+G237+G243+G252</f>
        <v>4603829496</v>
      </c>
      <c r="H255" s="364">
        <f>+H205+H219+H227+H237+H243+H252</f>
        <v>1279502564</v>
      </c>
      <c r="I255" s="364">
        <f>+G255+H255</f>
        <v>5883332060</v>
      </c>
      <c r="J255" s="408">
        <f>+I255/F255</f>
        <v>0.48301533485079545</v>
      </c>
      <c r="K255" s="455">
        <f>+K205+K219+K227+K237+K243+K252</f>
        <v>4601447764</v>
      </c>
      <c r="L255" s="364">
        <f>+L205+L219+L227+L237+L243+L252</f>
        <v>1280711451</v>
      </c>
      <c r="M255" s="364">
        <f>+K255+L255</f>
        <v>5882159215</v>
      </c>
      <c r="N255" s="366">
        <f>+M255/F255</f>
        <v>0.48291904551770565</v>
      </c>
      <c r="O255" s="364">
        <f>+F255-M255</f>
        <v>6298265785</v>
      </c>
      <c r="P255" s="77"/>
      <c r="Q255" s="6" t="str">
        <f t="shared" si="137"/>
        <v>OKE</v>
      </c>
      <c r="R255" s="6"/>
    </row>
    <row r="256" spans="1:19" ht="15" thickBot="1" x14ac:dyDescent="0.25">
      <c r="A256" s="389"/>
      <c r="B256" s="389"/>
      <c r="C256" s="396"/>
      <c r="D256" s="396"/>
      <c r="E256" s="396"/>
      <c r="F256" s="396"/>
      <c r="G256" s="456"/>
      <c r="H256" s="396"/>
      <c r="I256" s="396"/>
      <c r="J256" s="409"/>
      <c r="K256" s="456"/>
      <c r="L256" s="396"/>
      <c r="M256" s="396"/>
      <c r="N256" s="367"/>
      <c r="O256" s="396"/>
      <c r="P256" s="83"/>
      <c r="Q256" s="6" t="str">
        <f t="shared" si="137"/>
        <v>OKE</v>
      </c>
      <c r="R256" s="6"/>
      <c r="S256" s="190">
        <f>+S477-245000</f>
        <v>716553195</v>
      </c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7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7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7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7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7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7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7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7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7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7"/>
        <v>OKE</v>
      </c>
      <c r="R266" s="6"/>
    </row>
    <row r="267" spans="1:18" ht="15" hidden="1" thickBot="1" x14ac:dyDescent="0.25">
      <c r="B267" s="88"/>
      <c r="C267" s="77"/>
      <c r="D267" s="31"/>
      <c r="E267" s="31"/>
      <c r="F267" s="31"/>
      <c r="G267" s="179"/>
      <c r="H267" s="258"/>
      <c r="I267" s="179"/>
      <c r="J267" s="179"/>
      <c r="K267" s="179"/>
      <c r="L267" s="77"/>
      <c r="M267" s="77"/>
      <c r="N267" s="77"/>
      <c r="O267" s="77"/>
      <c r="P267" s="77"/>
      <c r="Q267" s="6" t="str">
        <f t="shared" si="137"/>
        <v>OKE</v>
      </c>
      <c r="R267" s="6"/>
    </row>
    <row r="268" spans="1:18" ht="15" hidden="1" thickBot="1" x14ac:dyDescent="0.25">
      <c r="B268" s="88"/>
      <c r="C268" s="77"/>
      <c r="D268" s="31"/>
      <c r="E268" s="31"/>
      <c r="F268" s="31"/>
      <c r="G268" s="179"/>
      <c r="H268" s="258"/>
      <c r="I268" s="179"/>
      <c r="J268" s="179"/>
      <c r="K268" s="179"/>
      <c r="L268" s="77"/>
      <c r="M268" s="77"/>
      <c r="N268" s="77"/>
      <c r="O268" s="77"/>
      <c r="P268" s="77"/>
      <c r="Q268" s="6" t="str">
        <f t="shared" si="137"/>
        <v>OKE</v>
      </c>
      <c r="R268" s="6"/>
    </row>
    <row r="269" spans="1:18" ht="14.1" hidden="1" customHeight="1" x14ac:dyDescent="0.2">
      <c r="A269" s="410" t="s">
        <v>0</v>
      </c>
      <c r="B269" s="410"/>
      <c r="C269" s="410"/>
      <c r="D269" s="410"/>
      <c r="E269" s="410"/>
      <c r="F269" s="410"/>
      <c r="G269" s="410"/>
      <c r="H269" s="410"/>
      <c r="I269" s="410"/>
      <c r="J269" s="410"/>
      <c r="K269" s="410"/>
      <c r="L269" s="410"/>
      <c r="M269" s="410"/>
      <c r="N269" s="410"/>
      <c r="O269" s="410"/>
      <c r="P269" s="77"/>
      <c r="Q269" s="6" t="str">
        <f t="shared" si="137"/>
        <v>OKE</v>
      </c>
      <c r="R269" s="6"/>
    </row>
    <row r="270" spans="1:18" ht="14.1" hidden="1" customHeight="1" x14ac:dyDescent="0.2">
      <c r="A270" s="410" t="s">
        <v>130</v>
      </c>
      <c r="B270" s="410"/>
      <c r="C270" s="410"/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77"/>
      <c r="Q270" s="6" t="str">
        <f t="shared" si="137"/>
        <v>OKE</v>
      </c>
      <c r="R270" s="6"/>
    </row>
    <row r="271" spans="1:18" ht="14.1" hidden="1" customHeight="1" x14ac:dyDescent="0.2">
      <c r="A271" s="407" t="s">
        <v>131</v>
      </c>
      <c r="B271" s="407"/>
      <c r="C271" s="407"/>
      <c r="D271" s="407"/>
      <c r="E271" s="407"/>
      <c r="F271" s="407"/>
      <c r="G271" s="407"/>
      <c r="H271" s="407"/>
      <c r="I271" s="407"/>
      <c r="J271" s="407"/>
      <c r="K271" s="407"/>
      <c r="L271" s="407"/>
      <c r="M271" s="407"/>
      <c r="N271" s="407"/>
      <c r="O271" s="407"/>
      <c r="P271" s="77"/>
      <c r="Q271" s="6" t="str">
        <f t="shared" si="137"/>
        <v>OKE</v>
      </c>
      <c r="R271" s="6"/>
    </row>
    <row r="272" spans="1:18" ht="14.1" hidden="1" customHeight="1" x14ac:dyDescent="0.2">
      <c r="A272" s="361" t="s">
        <v>2</v>
      </c>
      <c r="B272" s="361" t="s">
        <v>3</v>
      </c>
      <c r="C272" s="361" t="s">
        <v>4</v>
      </c>
      <c r="D272" s="361" t="s">
        <v>5</v>
      </c>
      <c r="E272" s="197"/>
      <c r="F272" s="197"/>
      <c r="G272" s="358" t="s">
        <v>11</v>
      </c>
      <c r="H272" s="359"/>
      <c r="I272" s="359"/>
      <c r="J272" s="360"/>
      <c r="K272" s="358" t="s">
        <v>9</v>
      </c>
      <c r="L272" s="359"/>
      <c r="M272" s="359"/>
      <c r="N272" s="360"/>
      <c r="O272" s="361" t="s">
        <v>10</v>
      </c>
      <c r="P272" s="77"/>
      <c r="Q272" s="6" t="str">
        <f t="shared" si="137"/>
        <v>OKE</v>
      </c>
      <c r="R272" s="6"/>
    </row>
    <row r="273" spans="1:18" ht="14.1" hidden="1" customHeight="1" x14ac:dyDescent="0.2">
      <c r="A273" s="362"/>
      <c r="B273" s="362"/>
      <c r="C273" s="362"/>
      <c r="D273" s="362"/>
      <c r="E273" s="44"/>
      <c r="F273" s="44"/>
      <c r="G273" s="358" t="s">
        <v>74</v>
      </c>
      <c r="H273" s="359"/>
      <c r="I273" s="359"/>
      <c r="J273" s="360"/>
      <c r="K273" s="358" t="s">
        <v>12</v>
      </c>
      <c r="L273" s="359"/>
      <c r="M273" s="359"/>
      <c r="N273" s="360"/>
      <c r="O273" s="362"/>
      <c r="P273" s="77"/>
      <c r="Q273" s="6" t="str">
        <f t="shared" si="137"/>
        <v>OKE</v>
      </c>
      <c r="R273" s="6"/>
    </row>
    <row r="274" spans="1:18" ht="15" hidden="1" thickBot="1" x14ac:dyDescent="0.25">
      <c r="A274" s="363"/>
      <c r="B274" s="363"/>
      <c r="C274" s="363"/>
      <c r="D274" s="363"/>
      <c r="E274" s="196"/>
      <c r="F274" s="196"/>
      <c r="G274" s="144" t="s">
        <v>13</v>
      </c>
      <c r="H274" s="145" t="s">
        <v>14</v>
      </c>
      <c r="I274" s="144" t="s">
        <v>15</v>
      </c>
      <c r="J274" s="144" t="s">
        <v>16</v>
      </c>
      <c r="K274" s="144" t="s">
        <v>13</v>
      </c>
      <c r="L274" s="144" t="s">
        <v>14</v>
      </c>
      <c r="M274" s="144" t="s">
        <v>15</v>
      </c>
      <c r="N274" s="144" t="s">
        <v>16</v>
      </c>
      <c r="O274" s="363"/>
      <c r="P274" s="77"/>
      <c r="Q274" s="6" t="str">
        <f t="shared" si="137"/>
        <v>OKE</v>
      </c>
      <c r="R274" s="6"/>
    </row>
    <row r="275" spans="1:18" ht="15" hidden="1" thickBot="1" x14ac:dyDescent="0.25">
      <c r="A275" s="2">
        <v>1</v>
      </c>
      <c r="B275" s="2">
        <v>2</v>
      </c>
      <c r="C275" s="2">
        <v>3</v>
      </c>
      <c r="D275" s="2">
        <v>4</v>
      </c>
      <c r="E275" s="2"/>
      <c r="F275" s="2"/>
      <c r="G275" s="2">
        <v>5</v>
      </c>
      <c r="H275" s="145">
        <v>6</v>
      </c>
      <c r="I275" s="45" t="s">
        <v>77</v>
      </c>
      <c r="J275" s="45" t="s">
        <v>78</v>
      </c>
      <c r="K275" s="45">
        <v>9</v>
      </c>
      <c r="L275" s="45">
        <v>10</v>
      </c>
      <c r="M275" s="45" t="s">
        <v>79</v>
      </c>
      <c r="N275" s="45" t="s">
        <v>80</v>
      </c>
      <c r="O275" s="45" t="s">
        <v>81</v>
      </c>
      <c r="P275" s="77"/>
      <c r="Q275" s="6" t="str">
        <f t="shared" si="137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241"/>
      <c r="O276" s="241"/>
      <c r="P276" s="77"/>
      <c r="Q276" s="6" t="str">
        <f t="shared" si="137"/>
        <v>OKE</v>
      </c>
      <c r="R276" s="6"/>
    </row>
    <row r="277" spans="1:18" ht="15" hidden="1" thickBot="1" x14ac:dyDescent="0.25">
      <c r="A277" s="74"/>
      <c r="B277" s="76"/>
      <c r="C277" s="244" t="s">
        <v>82</v>
      </c>
      <c r="D277" s="8"/>
      <c r="E277" s="8"/>
      <c r="F277" s="8"/>
      <c r="G277" s="76"/>
      <c r="H277" s="82"/>
      <c r="I277" s="76"/>
      <c r="J277" s="76"/>
      <c r="K277" s="76"/>
      <c r="L277" s="76"/>
      <c r="M277" s="76"/>
      <c r="N277" s="76"/>
      <c r="O277" s="76"/>
      <c r="P277" s="77"/>
      <c r="Q277" s="6" t="str">
        <f t="shared" si="137"/>
        <v>OKE</v>
      </c>
      <c r="R277" s="6"/>
    </row>
    <row r="278" spans="1:18" ht="15" hidden="1" thickBot="1" x14ac:dyDescent="0.25">
      <c r="A278" s="74"/>
      <c r="B278" s="76"/>
      <c r="C278" s="76"/>
      <c r="D278" s="8"/>
      <c r="E278" s="8"/>
      <c r="F278" s="8"/>
      <c r="G278" s="76"/>
      <c r="H278" s="82"/>
      <c r="I278" s="76"/>
      <c r="J278" s="76"/>
      <c r="K278" s="76"/>
      <c r="L278" s="76"/>
      <c r="M278" s="76"/>
      <c r="N278" s="76"/>
      <c r="O278" s="76"/>
      <c r="P278" s="77"/>
      <c r="Q278" s="6" t="str">
        <f t="shared" si="137"/>
        <v>OKE</v>
      </c>
      <c r="R278" s="6"/>
    </row>
    <row r="279" spans="1:18" ht="15" hidden="1" thickBot="1" x14ac:dyDescent="0.25">
      <c r="A279" s="7" t="s">
        <v>22</v>
      </c>
      <c r="B279" s="7" t="s">
        <v>23</v>
      </c>
      <c r="C279" s="9" t="s">
        <v>45</v>
      </c>
      <c r="D279" s="10">
        <f>+D281+D286+D288+D290</f>
        <v>352575000</v>
      </c>
      <c r="E279" s="10"/>
      <c r="F279" s="10"/>
      <c r="G279" s="10">
        <f>+G281+G286+G288+G290</f>
        <v>130595000</v>
      </c>
      <c r="H279" s="11">
        <f>+H281+H286+H288+H290</f>
        <v>200225000</v>
      </c>
      <c r="I279" s="10">
        <f>+G279+H279</f>
        <v>330820000</v>
      </c>
      <c r="J279" s="12">
        <f>+I279/D279</f>
        <v>0.9382968162802241</v>
      </c>
      <c r="K279" s="10">
        <f>+K281+K286+K288+K290</f>
        <v>124051000</v>
      </c>
      <c r="L279" s="10">
        <f>+L281+L286+L288+L290</f>
        <v>199372700</v>
      </c>
      <c r="M279" s="10">
        <f>+K279+L279</f>
        <v>323423700</v>
      </c>
      <c r="N279" s="12">
        <f>+M279/D279</f>
        <v>0.91731886832588816</v>
      </c>
      <c r="O279" s="10">
        <f>+D279-I279</f>
        <v>21755000</v>
      </c>
      <c r="P279" s="77"/>
      <c r="Q279" s="6" t="str">
        <f t="shared" si="137"/>
        <v>OKE</v>
      </c>
      <c r="R279" s="6"/>
    </row>
    <row r="280" spans="1:18" ht="15" hidden="1" thickBot="1" x14ac:dyDescent="0.25">
      <c r="A280" s="74"/>
      <c r="B280" s="74"/>
      <c r="C280" s="76"/>
      <c r="D280" s="15"/>
      <c r="E280" s="15"/>
      <c r="F280" s="15"/>
      <c r="G280" s="80"/>
      <c r="H280" s="79"/>
      <c r="I280" s="80"/>
      <c r="J280" s="80"/>
      <c r="K280" s="80"/>
      <c r="L280" s="76"/>
      <c r="M280" s="76"/>
      <c r="N280" s="76"/>
      <c r="O280" s="76"/>
      <c r="P280" s="77"/>
      <c r="Q280" s="6" t="str">
        <f t="shared" si="137"/>
        <v>OKE</v>
      </c>
      <c r="R280" s="6"/>
    </row>
    <row r="281" spans="1:18" ht="15" hidden="1" thickBot="1" x14ac:dyDescent="0.25">
      <c r="A281" s="74">
        <v>1</v>
      </c>
      <c r="B281" s="75" t="s">
        <v>39</v>
      </c>
      <c r="C281" s="76" t="s">
        <v>50</v>
      </c>
      <c r="D281" s="15">
        <v>255000000</v>
      </c>
      <c r="E281" s="15"/>
      <c r="F281" s="15"/>
      <c r="G281" s="80">
        <v>68220000</v>
      </c>
      <c r="H281" s="79">
        <v>173020000</v>
      </c>
      <c r="I281" s="15">
        <f>+G281+H281</f>
        <v>241240000</v>
      </c>
      <c r="J281" s="16">
        <f>+I281/D281</f>
        <v>0.94603921568627447</v>
      </c>
      <c r="K281" s="80">
        <v>65540000</v>
      </c>
      <c r="L281" s="80">
        <v>174070000</v>
      </c>
      <c r="M281" s="80">
        <f>+K281+L281</f>
        <v>239610000</v>
      </c>
      <c r="N281" s="16">
        <f>+M281/D281</f>
        <v>0.93964705882352939</v>
      </c>
      <c r="O281" s="80">
        <f>+D281-I281</f>
        <v>13760000</v>
      </c>
      <c r="P281" s="77"/>
      <c r="Q281" s="6" t="str">
        <f t="shared" si="137"/>
        <v>OKE</v>
      </c>
      <c r="R281" s="6"/>
    </row>
    <row r="282" spans="1:18" ht="15" hidden="1" thickBot="1" x14ac:dyDescent="0.25">
      <c r="A282" s="74"/>
      <c r="B282" s="75"/>
      <c r="C282" s="76"/>
      <c r="D282" s="15"/>
      <c r="E282" s="15"/>
      <c r="F282" s="15"/>
      <c r="G282" s="80"/>
      <c r="H282" s="79"/>
      <c r="I282" s="15"/>
      <c r="J282" s="16"/>
      <c r="K282" s="80"/>
      <c r="L282" s="80"/>
      <c r="M282" s="80"/>
      <c r="N282" s="16"/>
      <c r="O282" s="80"/>
      <c r="P282" s="77"/>
      <c r="Q282" s="6" t="str">
        <f t="shared" si="137"/>
        <v>OKE</v>
      </c>
      <c r="R282" s="6"/>
    </row>
    <row r="283" spans="1:18" ht="15" hidden="1" thickBot="1" x14ac:dyDescent="0.25">
      <c r="A283" s="74"/>
      <c r="B283" s="18" t="s">
        <v>24</v>
      </c>
      <c r="C283" s="19" t="s">
        <v>25</v>
      </c>
      <c r="D283" s="20">
        <v>44275000</v>
      </c>
      <c r="E283" s="20"/>
      <c r="F283" s="20"/>
      <c r="G283" s="20">
        <v>33022500</v>
      </c>
      <c r="H283" s="21">
        <v>2527500</v>
      </c>
      <c r="I283" s="20">
        <f>+G283+H283</f>
        <v>35550000</v>
      </c>
      <c r="J283" s="22">
        <f>+I283/D283</f>
        <v>0.80293619424054208</v>
      </c>
      <c r="K283" s="20">
        <v>27217500</v>
      </c>
      <c r="L283" s="20">
        <v>0</v>
      </c>
      <c r="M283" s="20">
        <f>+K283+L283</f>
        <v>27217500</v>
      </c>
      <c r="N283" s="22">
        <f>+M283/D283</f>
        <v>0.61473743647656687</v>
      </c>
      <c r="O283" s="20">
        <f>+D283-I283</f>
        <v>8725000</v>
      </c>
      <c r="P283" s="77"/>
      <c r="Q283" s="6" t="str">
        <f t="shared" si="137"/>
        <v>OKE</v>
      </c>
      <c r="R283" s="6"/>
    </row>
    <row r="284" spans="1:18" ht="15" hidden="1" thickBot="1" x14ac:dyDescent="0.25">
      <c r="A284" s="74"/>
      <c r="B284" s="18" t="s">
        <v>24</v>
      </c>
      <c r="C284" s="19" t="s">
        <v>28</v>
      </c>
      <c r="D284" s="20">
        <v>-11700000</v>
      </c>
      <c r="E284" s="20"/>
      <c r="F284" s="20"/>
      <c r="G284" s="20">
        <v>0</v>
      </c>
      <c r="H284" s="21">
        <v>-8825000</v>
      </c>
      <c r="I284" s="20">
        <f>+G284+H284</f>
        <v>-8825000</v>
      </c>
      <c r="J284" s="22"/>
      <c r="K284" s="20"/>
      <c r="L284" s="20">
        <v>-8825000</v>
      </c>
      <c r="M284" s="20">
        <f>+K284+L284</f>
        <v>-8825000</v>
      </c>
      <c r="N284" s="22"/>
      <c r="O284" s="20"/>
      <c r="P284" s="77"/>
      <c r="Q284" s="6" t="str">
        <f t="shared" si="137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76"/>
      <c r="M285" s="76"/>
      <c r="N285" s="76"/>
      <c r="O285" s="76"/>
      <c r="P285" s="77"/>
      <c r="Q285" s="6" t="str">
        <f t="shared" si="137"/>
        <v>OKE</v>
      </c>
      <c r="R285" s="6"/>
    </row>
    <row r="286" spans="1:18" ht="15" hidden="1" thickBot="1" x14ac:dyDescent="0.25">
      <c r="A286" s="74">
        <v>2</v>
      </c>
      <c r="B286" s="75" t="s">
        <v>24</v>
      </c>
      <c r="C286" s="76" t="s">
        <v>25</v>
      </c>
      <c r="D286" s="15">
        <v>32575000</v>
      </c>
      <c r="E286" s="15"/>
      <c r="F286" s="15"/>
      <c r="G286" s="80">
        <v>26725000</v>
      </c>
      <c r="H286" s="79">
        <v>5055000</v>
      </c>
      <c r="I286" s="15">
        <f>+G286+H286</f>
        <v>31780000</v>
      </c>
      <c r="J286" s="16">
        <f>+I286/D286</f>
        <v>0.97559478127398314</v>
      </c>
      <c r="K286" s="80">
        <v>23622500</v>
      </c>
      <c r="L286" s="80">
        <v>7757500</v>
      </c>
      <c r="M286" s="80">
        <f>+K286+L286</f>
        <v>31380000</v>
      </c>
      <c r="N286" s="16">
        <f>+M286/D286</f>
        <v>0.96331542594013819</v>
      </c>
      <c r="O286" s="80">
        <f>+D286-I286</f>
        <v>795000</v>
      </c>
      <c r="P286" s="77"/>
      <c r="Q286" s="6" t="str">
        <f t="shared" si="137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93"/>
      <c r="M287" s="76"/>
      <c r="N287" s="76"/>
      <c r="O287" s="76"/>
      <c r="P287" s="77"/>
      <c r="Q287" s="6" t="str">
        <f t="shared" si="137"/>
        <v>OKE</v>
      </c>
      <c r="R287" s="6"/>
    </row>
    <row r="288" spans="1:18" ht="15" hidden="1" thickBot="1" x14ac:dyDescent="0.25">
      <c r="A288" s="74">
        <v>3</v>
      </c>
      <c r="B288" s="75" t="s">
        <v>46</v>
      </c>
      <c r="C288" s="76" t="s">
        <v>47</v>
      </c>
      <c r="D288" s="15">
        <v>25000000</v>
      </c>
      <c r="E288" s="15"/>
      <c r="F288" s="15"/>
      <c r="G288" s="80">
        <v>9400000</v>
      </c>
      <c r="H288" s="79">
        <v>15600000</v>
      </c>
      <c r="I288" s="15">
        <f>+G288+H288</f>
        <v>25000000</v>
      </c>
      <c r="J288" s="16">
        <f>+I288/D288</f>
        <v>1</v>
      </c>
      <c r="K288" s="80">
        <v>9400000</v>
      </c>
      <c r="L288" s="80">
        <v>11703700</v>
      </c>
      <c r="M288" s="80">
        <f>+K288+L288</f>
        <v>21103700</v>
      </c>
      <c r="N288" s="16">
        <f>+M288/D288</f>
        <v>0.84414800000000001</v>
      </c>
      <c r="O288" s="80">
        <f>+D288-I288</f>
        <v>0</v>
      </c>
      <c r="P288" s="77"/>
      <c r="Q288" s="6" t="str">
        <f t="shared" si="137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7"/>
        <v>OKE</v>
      </c>
      <c r="R289" s="6"/>
    </row>
    <row r="290" spans="1:18" ht="15" hidden="1" thickBot="1" x14ac:dyDescent="0.25">
      <c r="A290" s="74">
        <v>4</v>
      </c>
      <c r="B290" s="75" t="s">
        <v>29</v>
      </c>
      <c r="C290" s="76" t="s">
        <v>30</v>
      </c>
      <c r="D290" s="15">
        <v>40000000</v>
      </c>
      <c r="E290" s="15"/>
      <c r="F290" s="15"/>
      <c r="G290" s="80">
        <v>26250000</v>
      </c>
      <c r="H290" s="79">
        <v>6550000</v>
      </c>
      <c r="I290" s="15">
        <f>+G290+H290</f>
        <v>32800000</v>
      </c>
      <c r="J290" s="16">
        <f>+I290/D290</f>
        <v>0.82</v>
      </c>
      <c r="K290" s="80">
        <v>25488500</v>
      </c>
      <c r="L290" s="80">
        <v>5841500</v>
      </c>
      <c r="M290" s="80">
        <f>+K290+L290</f>
        <v>31330000</v>
      </c>
      <c r="N290" s="16">
        <f>+M290/D290</f>
        <v>0.78325</v>
      </c>
      <c r="O290" s="80">
        <f>+D290-I290</f>
        <v>7200000</v>
      </c>
      <c r="P290" s="77"/>
      <c r="Q290" s="6" t="str">
        <f t="shared" si="137"/>
        <v>OKE</v>
      </c>
      <c r="R290" s="6"/>
    </row>
    <row r="291" spans="1:18" ht="15" hidden="1" thickBot="1" x14ac:dyDescent="0.25">
      <c r="A291" s="74"/>
      <c r="B291" s="74"/>
      <c r="C291" s="76"/>
      <c r="D291" s="15"/>
      <c r="E291" s="15"/>
      <c r="F291" s="15"/>
      <c r="G291" s="80"/>
      <c r="H291" s="79"/>
      <c r="I291" s="80"/>
      <c r="J291" s="80"/>
      <c r="K291" s="80"/>
      <c r="L291" s="76"/>
      <c r="M291" s="76"/>
      <c r="N291" s="76"/>
      <c r="O291" s="76"/>
      <c r="P291" s="77"/>
      <c r="Q291" s="6" t="str">
        <f t="shared" si="137"/>
        <v>OKE</v>
      </c>
      <c r="R291" s="6"/>
    </row>
    <row r="292" spans="1:18" ht="15" hidden="1" thickBot="1" x14ac:dyDescent="0.25">
      <c r="A292" s="74"/>
      <c r="B292" s="74"/>
      <c r="C292" s="9" t="s">
        <v>48</v>
      </c>
      <c r="D292" s="10">
        <f>+D290+D288+D286+D281</f>
        <v>352575000</v>
      </c>
      <c r="E292" s="10"/>
      <c r="F292" s="10"/>
      <c r="G292" s="10">
        <f>+G290+G288+G286+G281</f>
        <v>130595000</v>
      </c>
      <c r="H292" s="11">
        <f>+H290+H288+H286+H281</f>
        <v>200225000</v>
      </c>
      <c r="I292" s="10">
        <f>+G292+H292</f>
        <v>330820000</v>
      </c>
      <c r="J292" s="12">
        <f>+I292/D292</f>
        <v>0.9382968162802241</v>
      </c>
      <c r="K292" s="10">
        <f>+K290+K288+K286+K281</f>
        <v>124051000</v>
      </c>
      <c r="L292" s="10">
        <f>+L290+L288+L286+L281</f>
        <v>199372700</v>
      </c>
      <c r="M292" s="10">
        <f>+K292+L292</f>
        <v>323423700</v>
      </c>
      <c r="N292" s="12">
        <f>+M292/D292</f>
        <v>0.91731886832588816</v>
      </c>
      <c r="O292" s="10">
        <f>+D292-I292</f>
        <v>21755000</v>
      </c>
      <c r="P292" s="77"/>
      <c r="Q292" s="6" t="str">
        <f t="shared" si="137"/>
        <v>OKE</v>
      </c>
      <c r="R292" s="6"/>
    </row>
    <row r="293" spans="1:18" ht="15" hidden="1" thickBot="1" x14ac:dyDescent="0.25">
      <c r="A293" s="85"/>
      <c r="B293" s="85"/>
      <c r="C293" s="34" t="s">
        <v>31</v>
      </c>
      <c r="D293" s="35"/>
      <c r="E293" s="35"/>
      <c r="F293" s="35"/>
      <c r="G293" s="259"/>
      <c r="H293" s="260"/>
      <c r="I293" s="259"/>
      <c r="J293" s="259"/>
      <c r="K293" s="259"/>
      <c r="L293" s="261"/>
      <c r="M293" s="261"/>
      <c r="N293" s="261"/>
      <c r="O293" s="261"/>
      <c r="P293" s="77"/>
      <c r="Q293" s="6" t="str">
        <f t="shared" si="137"/>
        <v>OKE</v>
      </c>
      <c r="R293" s="6"/>
    </row>
    <row r="294" spans="1:18" ht="15" hidden="1" thickBot="1" x14ac:dyDescent="0.25">
      <c r="A294" s="74"/>
      <c r="B294" s="74"/>
      <c r="C294" s="76"/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7"/>
        <v>OKE</v>
      </c>
      <c r="R294" s="6"/>
    </row>
    <row r="295" spans="1:18" ht="15" hidden="1" thickBot="1" x14ac:dyDescent="0.25">
      <c r="A295" s="7" t="s">
        <v>32</v>
      </c>
      <c r="B295" s="7" t="s">
        <v>33</v>
      </c>
      <c r="C295" s="9" t="s">
        <v>83</v>
      </c>
      <c r="D295" s="10">
        <f>+D298</f>
        <v>75000000</v>
      </c>
      <c r="E295" s="10"/>
      <c r="F295" s="10"/>
      <c r="G295" s="10">
        <f>+G298</f>
        <v>45335300</v>
      </c>
      <c r="H295" s="11">
        <f>+H298</f>
        <v>26800000</v>
      </c>
      <c r="I295" s="10">
        <f>+G295+H295</f>
        <v>72135300</v>
      </c>
      <c r="J295" s="12">
        <f>+I295/D295</f>
        <v>0.96180399999999999</v>
      </c>
      <c r="K295" s="10">
        <f>+K298</f>
        <v>43643800</v>
      </c>
      <c r="L295" s="10">
        <f>+L298</f>
        <v>24769900</v>
      </c>
      <c r="M295" s="10">
        <f>+K295+L295</f>
        <v>68413700</v>
      </c>
      <c r="N295" s="12">
        <f>+M295/D295</f>
        <v>0.9121826666666667</v>
      </c>
      <c r="O295" s="10">
        <f>+D295-I295</f>
        <v>2864700</v>
      </c>
      <c r="P295" s="77"/>
      <c r="Q295" s="6" t="str">
        <f t="shared" si="137"/>
        <v>OKE</v>
      </c>
      <c r="R295" s="6"/>
    </row>
    <row r="296" spans="1:18" ht="15" hidden="1" thickBot="1" x14ac:dyDescent="0.25">
      <c r="A296" s="74"/>
      <c r="B296" s="74"/>
      <c r="C296" s="9" t="s">
        <v>49</v>
      </c>
      <c r="D296" s="15"/>
      <c r="E296" s="15"/>
      <c r="F296" s="15"/>
      <c r="G296" s="80"/>
      <c r="H296" s="79"/>
      <c r="I296" s="80"/>
      <c r="J296" s="80"/>
      <c r="K296" s="80"/>
      <c r="L296" s="76"/>
      <c r="M296" s="76"/>
      <c r="N296" s="76"/>
      <c r="O296" s="76"/>
      <c r="P296" s="77"/>
      <c r="Q296" s="6" t="str">
        <f t="shared" si="137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7"/>
        <v>OKE</v>
      </c>
      <c r="R297" s="6"/>
    </row>
    <row r="298" spans="1:18" ht="15" hidden="1" thickBot="1" x14ac:dyDescent="0.25">
      <c r="A298" s="74">
        <v>5</v>
      </c>
      <c r="B298" s="75" t="s">
        <v>34</v>
      </c>
      <c r="C298" s="8" t="s">
        <v>35</v>
      </c>
      <c r="D298" s="15">
        <v>75000000</v>
      </c>
      <c r="E298" s="15"/>
      <c r="F298" s="15"/>
      <c r="G298" s="80">
        <v>45335300</v>
      </c>
      <c r="H298" s="79">
        <v>26800000</v>
      </c>
      <c r="I298" s="15">
        <f>+G298+H298</f>
        <v>72135300</v>
      </c>
      <c r="J298" s="16">
        <f>+I298/D298</f>
        <v>0.96180399999999999</v>
      </c>
      <c r="K298" s="80">
        <v>43643800</v>
      </c>
      <c r="L298" s="80">
        <v>24769900</v>
      </c>
      <c r="M298" s="80">
        <f>+K298+L298</f>
        <v>68413700</v>
      </c>
      <c r="N298" s="16">
        <f>+M298/D298</f>
        <v>0.9121826666666667</v>
      </c>
      <c r="O298" s="80">
        <f>+D298-I298</f>
        <v>2864700</v>
      </c>
      <c r="P298" s="77"/>
      <c r="Q298" s="6" t="str">
        <f t="shared" si="137"/>
        <v>OKE</v>
      </c>
      <c r="R298" s="6"/>
    </row>
    <row r="299" spans="1:18" ht="15" hidden="1" thickBot="1" x14ac:dyDescent="0.25">
      <c r="A299" s="74"/>
      <c r="B299" s="74"/>
      <c r="C299" s="76"/>
      <c r="D299" s="15"/>
      <c r="E299" s="15"/>
      <c r="F299" s="15"/>
      <c r="G299" s="80"/>
      <c r="H299" s="79"/>
      <c r="I299" s="80"/>
      <c r="J299" s="80"/>
      <c r="K299" s="80"/>
      <c r="L299" s="76"/>
      <c r="M299" s="76"/>
      <c r="N299" s="76"/>
      <c r="O299" s="76"/>
      <c r="P299" s="77"/>
      <c r="Q299" s="6" t="str">
        <f t="shared" si="137"/>
        <v>OKE</v>
      </c>
      <c r="R299" s="6"/>
    </row>
    <row r="300" spans="1:18" ht="15" hidden="1" thickBot="1" x14ac:dyDescent="0.25">
      <c r="A300" s="74"/>
      <c r="B300" s="74"/>
      <c r="C300" s="9" t="s">
        <v>65</v>
      </c>
      <c r="D300" s="10">
        <f>+D298</f>
        <v>75000000</v>
      </c>
      <c r="E300" s="10"/>
      <c r="F300" s="10"/>
      <c r="G300" s="10">
        <f>+G298</f>
        <v>45335300</v>
      </c>
      <c r="H300" s="11">
        <f>+H298</f>
        <v>26800000</v>
      </c>
      <c r="I300" s="10">
        <f>+G300+H300</f>
        <v>72135300</v>
      </c>
      <c r="J300" s="12">
        <f>+I300/D300</f>
        <v>0.96180399999999999</v>
      </c>
      <c r="K300" s="10">
        <f>+K298</f>
        <v>43643800</v>
      </c>
      <c r="L300" s="10">
        <f>+L298</f>
        <v>24769900</v>
      </c>
      <c r="M300" s="10">
        <f>+K300+L300</f>
        <v>68413700</v>
      </c>
      <c r="N300" s="12">
        <f>+M300/D300</f>
        <v>0.9121826666666667</v>
      </c>
      <c r="O300" s="10">
        <f>+D300-I300</f>
        <v>2864700</v>
      </c>
      <c r="P300" s="77"/>
      <c r="Q300" s="6" t="str">
        <f t="shared" si="137"/>
        <v>OKE</v>
      </c>
      <c r="R300" s="6"/>
    </row>
    <row r="301" spans="1:18" ht="15" hidden="1" thickBot="1" x14ac:dyDescent="0.25">
      <c r="A301" s="81"/>
      <c r="B301" s="81"/>
      <c r="C301" s="23" t="s">
        <v>66</v>
      </c>
      <c r="D301" s="32"/>
      <c r="E301" s="32"/>
      <c r="F301" s="32"/>
      <c r="G301" s="252"/>
      <c r="H301" s="253"/>
      <c r="I301" s="252"/>
      <c r="J301" s="252"/>
      <c r="K301" s="252"/>
      <c r="L301" s="251"/>
      <c r="M301" s="251"/>
      <c r="N301" s="251"/>
      <c r="O301" s="251"/>
      <c r="P301" s="77"/>
      <c r="Q301" s="6" t="str">
        <f t="shared" si="137"/>
        <v>OKE</v>
      </c>
      <c r="R301" s="6"/>
    </row>
    <row r="302" spans="1:18" ht="15" hidden="1" thickBot="1" x14ac:dyDescent="0.25"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7"/>
        <v>OKE</v>
      </c>
      <c r="R302" s="6"/>
    </row>
    <row r="303" spans="1:18" ht="15" hidden="1" thickBot="1" x14ac:dyDescent="0.25"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7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7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7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7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7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si="137"/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7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ref="Q310:Q373" si="141">IF(M310&lt;=I310,"OKE","Salah")</f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41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41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41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41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41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41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41"/>
        <v>OKE</v>
      </c>
      <c r="R317" s="6"/>
    </row>
    <row r="318" spans="1:18" ht="15" hidden="1" thickBot="1" x14ac:dyDescent="0.25">
      <c r="A318" s="77"/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41"/>
        <v>OKE</v>
      </c>
      <c r="R318" s="6"/>
    </row>
    <row r="319" spans="1:18" ht="15" hidden="1" thickBot="1" x14ac:dyDescent="0.25">
      <c r="A319" s="77"/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41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41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41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41"/>
        <v>OKE</v>
      </c>
      <c r="R322" s="6"/>
    </row>
    <row r="323" spans="1:18" ht="15" hidden="1" thickBot="1" x14ac:dyDescent="0.25">
      <c r="B323" s="88"/>
      <c r="C323" s="77"/>
      <c r="D323" s="31"/>
      <c r="E323" s="31"/>
      <c r="F323" s="31"/>
      <c r="G323" s="179"/>
      <c r="H323" s="258"/>
      <c r="I323" s="179"/>
      <c r="J323" s="179"/>
      <c r="K323" s="179"/>
      <c r="L323" s="77"/>
      <c r="M323" s="77"/>
      <c r="N323" s="77"/>
      <c r="O323" s="77"/>
      <c r="P323" s="77"/>
      <c r="Q323" s="6" t="str">
        <f t="shared" si="141"/>
        <v>OKE</v>
      </c>
      <c r="R323" s="6"/>
    </row>
    <row r="324" spans="1:18" ht="15" hidden="1" thickBot="1" x14ac:dyDescent="0.25">
      <c r="B324" s="88"/>
      <c r="C324" s="77"/>
      <c r="D324" s="31"/>
      <c r="E324" s="31"/>
      <c r="F324" s="31"/>
      <c r="G324" s="179"/>
      <c r="H324" s="258"/>
      <c r="I324" s="179"/>
      <c r="J324" s="179"/>
      <c r="K324" s="179"/>
      <c r="L324" s="77"/>
      <c r="M324" s="77"/>
      <c r="N324" s="77"/>
      <c r="O324" s="77"/>
      <c r="P324" s="77"/>
      <c r="Q324" s="6" t="str">
        <f t="shared" si="141"/>
        <v>OKE</v>
      </c>
      <c r="R324" s="6"/>
    </row>
    <row r="325" spans="1:18" ht="15" hidden="1" thickBot="1" x14ac:dyDescent="0.25">
      <c r="A325" s="407"/>
      <c r="B325" s="407"/>
      <c r="C325" s="407"/>
      <c r="D325" s="407"/>
      <c r="E325" s="407"/>
      <c r="F325" s="407"/>
      <c r="G325" s="407"/>
      <c r="H325" s="407"/>
      <c r="I325" s="407"/>
      <c r="J325" s="407"/>
      <c r="K325" s="407"/>
      <c r="L325" s="407"/>
      <c r="M325" s="407"/>
      <c r="N325" s="407"/>
      <c r="O325" s="407"/>
      <c r="P325" s="77"/>
      <c r="Q325" s="6" t="str">
        <f t="shared" si="141"/>
        <v>OKE</v>
      </c>
      <c r="R325" s="6"/>
    </row>
    <row r="326" spans="1:18" ht="14.1" hidden="1" customHeight="1" x14ac:dyDescent="0.2">
      <c r="A326" s="361" t="s">
        <v>2</v>
      </c>
      <c r="B326" s="361" t="s">
        <v>3</v>
      </c>
      <c r="C326" s="361" t="s">
        <v>4</v>
      </c>
      <c r="D326" s="361" t="s">
        <v>5</v>
      </c>
      <c r="E326" s="197"/>
      <c r="F326" s="197"/>
      <c r="G326" s="358" t="s">
        <v>11</v>
      </c>
      <c r="H326" s="359"/>
      <c r="I326" s="359"/>
      <c r="J326" s="360"/>
      <c r="K326" s="358" t="s">
        <v>9</v>
      </c>
      <c r="L326" s="359"/>
      <c r="M326" s="359"/>
      <c r="N326" s="360"/>
      <c r="O326" s="361" t="s">
        <v>10</v>
      </c>
      <c r="P326" s="77"/>
      <c r="Q326" s="6" t="str">
        <f t="shared" si="141"/>
        <v>OKE</v>
      </c>
      <c r="R326" s="6"/>
    </row>
    <row r="327" spans="1:18" ht="14.1" hidden="1" customHeight="1" x14ac:dyDescent="0.2">
      <c r="A327" s="362"/>
      <c r="B327" s="362"/>
      <c r="C327" s="362"/>
      <c r="D327" s="362"/>
      <c r="E327" s="44"/>
      <c r="F327" s="44"/>
      <c r="G327" s="358" t="s">
        <v>74</v>
      </c>
      <c r="H327" s="359"/>
      <c r="I327" s="359"/>
      <c r="J327" s="360"/>
      <c r="K327" s="358" t="s">
        <v>12</v>
      </c>
      <c r="L327" s="359"/>
      <c r="M327" s="359"/>
      <c r="N327" s="360"/>
      <c r="O327" s="362"/>
      <c r="P327" s="77"/>
      <c r="Q327" s="6" t="str">
        <f t="shared" si="141"/>
        <v>OKE</v>
      </c>
      <c r="R327" s="6"/>
    </row>
    <row r="328" spans="1:18" ht="15" hidden="1" thickBot="1" x14ac:dyDescent="0.25">
      <c r="A328" s="378"/>
      <c r="B328" s="378"/>
      <c r="C328" s="378"/>
      <c r="D328" s="378"/>
      <c r="E328" s="196"/>
      <c r="F328" s="196"/>
      <c r="G328" s="144" t="s">
        <v>13</v>
      </c>
      <c r="H328" s="145" t="s">
        <v>14</v>
      </c>
      <c r="I328" s="144" t="s">
        <v>15</v>
      </c>
      <c r="J328" s="144" t="s">
        <v>16</v>
      </c>
      <c r="K328" s="144" t="s">
        <v>13</v>
      </c>
      <c r="L328" s="144" t="s">
        <v>14</v>
      </c>
      <c r="M328" s="144" t="s">
        <v>15</v>
      </c>
      <c r="N328" s="144" t="s">
        <v>16</v>
      </c>
      <c r="O328" s="378"/>
      <c r="P328" s="77"/>
      <c r="Q328" s="6" t="str">
        <f t="shared" si="141"/>
        <v>OKE</v>
      </c>
      <c r="R328" s="6"/>
    </row>
    <row r="329" spans="1:18" ht="15" hidden="1" thickBot="1" x14ac:dyDescent="0.25">
      <c r="A329" s="2">
        <v>1</v>
      </c>
      <c r="B329" s="2">
        <v>2</v>
      </c>
      <c r="C329" s="2">
        <v>3</v>
      </c>
      <c r="D329" s="2">
        <v>4</v>
      </c>
      <c r="E329" s="2"/>
      <c r="F329" s="2"/>
      <c r="G329" s="2">
        <v>5</v>
      </c>
      <c r="H329" s="145">
        <v>6</v>
      </c>
      <c r="I329" s="45" t="s">
        <v>77</v>
      </c>
      <c r="J329" s="45" t="s">
        <v>78</v>
      </c>
      <c r="K329" s="45">
        <v>9</v>
      </c>
      <c r="L329" s="45">
        <v>10</v>
      </c>
      <c r="M329" s="45" t="s">
        <v>79</v>
      </c>
      <c r="N329" s="45" t="s">
        <v>80</v>
      </c>
      <c r="O329" s="45" t="s">
        <v>81</v>
      </c>
      <c r="P329" s="77"/>
      <c r="Q329" s="6" t="str">
        <f t="shared" si="141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241"/>
      <c r="O330" s="241"/>
      <c r="P330" s="77"/>
      <c r="Q330" s="6" t="str">
        <f t="shared" si="141"/>
        <v>OKE</v>
      </c>
      <c r="R330" s="6"/>
    </row>
    <row r="331" spans="1:18" ht="15" hidden="1" thickBot="1" x14ac:dyDescent="0.25">
      <c r="A331" s="74"/>
      <c r="B331" s="76"/>
      <c r="C331" s="244" t="s">
        <v>82</v>
      </c>
      <c r="D331" s="8"/>
      <c r="E331" s="8"/>
      <c r="F331" s="8"/>
      <c r="G331" s="76"/>
      <c r="H331" s="82"/>
      <c r="I331" s="76"/>
      <c r="J331" s="76"/>
      <c r="K331" s="76"/>
      <c r="L331" s="76"/>
      <c r="M331" s="76"/>
      <c r="N331" s="76"/>
      <c r="O331" s="76"/>
      <c r="P331" s="77"/>
      <c r="Q331" s="6" t="str">
        <f t="shared" si="141"/>
        <v>OKE</v>
      </c>
      <c r="R331" s="6"/>
    </row>
    <row r="332" spans="1:18" ht="15" hidden="1" thickBot="1" x14ac:dyDescent="0.25">
      <c r="A332" s="74"/>
      <c r="B332" s="76"/>
      <c r="C332" s="76"/>
      <c r="D332" s="8"/>
      <c r="E332" s="8"/>
      <c r="F332" s="8"/>
      <c r="G332" s="76"/>
      <c r="H332" s="82"/>
      <c r="I332" s="76"/>
      <c r="J332" s="76"/>
      <c r="K332" s="76"/>
      <c r="L332" s="76"/>
      <c r="M332" s="76"/>
      <c r="N332" s="76"/>
      <c r="O332" s="76"/>
      <c r="P332" s="77"/>
      <c r="Q332" s="6" t="str">
        <f t="shared" si="141"/>
        <v>OKE</v>
      </c>
      <c r="R332" s="6"/>
    </row>
    <row r="333" spans="1:18" ht="15" hidden="1" thickBot="1" x14ac:dyDescent="0.25">
      <c r="A333" s="7" t="s">
        <v>38</v>
      </c>
      <c r="B333" s="7" t="s">
        <v>75</v>
      </c>
      <c r="C333" s="9" t="s">
        <v>84</v>
      </c>
      <c r="D333" s="10">
        <f>+D336+D339+D341+D343</f>
        <v>253000000</v>
      </c>
      <c r="E333" s="10"/>
      <c r="F333" s="10"/>
      <c r="G333" s="10">
        <f>+G336+G339+G341+G343</f>
        <v>196063600</v>
      </c>
      <c r="H333" s="11">
        <f>+H336+H339+H341+H343</f>
        <v>54435500</v>
      </c>
      <c r="I333" s="10">
        <f>+G333+H333</f>
        <v>250499100</v>
      </c>
      <c r="J333" s="12">
        <f>+I333/D333</f>
        <v>0.99011501976284588</v>
      </c>
      <c r="K333" s="10">
        <f>+K336+K339+K341+K343</f>
        <v>195569100</v>
      </c>
      <c r="L333" s="10">
        <f>+L336+L339+L341+L343</f>
        <v>54908000</v>
      </c>
      <c r="M333" s="10">
        <f>+K333+L333</f>
        <v>250477100</v>
      </c>
      <c r="N333" s="12">
        <f>+M333/D333</f>
        <v>0.9900280632411067</v>
      </c>
      <c r="O333" s="10">
        <f>+D333-I333</f>
        <v>2500900</v>
      </c>
      <c r="P333" s="77"/>
      <c r="Q333" s="6" t="str">
        <f t="shared" si="141"/>
        <v>OKE</v>
      </c>
      <c r="R333" s="6"/>
    </row>
    <row r="334" spans="1:18" ht="15" hidden="1" thickBot="1" x14ac:dyDescent="0.25">
      <c r="A334" s="74"/>
      <c r="B334" s="74"/>
      <c r="C334" s="9" t="s">
        <v>85</v>
      </c>
      <c r="D334" s="15"/>
      <c r="E334" s="15"/>
      <c r="F334" s="15"/>
      <c r="G334" s="80"/>
      <c r="H334" s="79"/>
      <c r="I334" s="80"/>
      <c r="J334" s="80"/>
      <c r="K334" s="80"/>
      <c r="L334" s="76"/>
      <c r="M334" s="76"/>
      <c r="N334" s="76"/>
      <c r="O334" s="76"/>
      <c r="P334" s="77"/>
      <c r="Q334" s="6" t="str">
        <f t="shared" si="141"/>
        <v>OKE</v>
      </c>
      <c r="R334" s="6"/>
    </row>
    <row r="335" spans="1:18" ht="15" hidden="1" thickBot="1" x14ac:dyDescent="0.25">
      <c r="A335" s="74"/>
      <c r="B335" s="74"/>
      <c r="C335" s="76"/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41"/>
        <v>OKE</v>
      </c>
      <c r="R335" s="6"/>
    </row>
    <row r="336" spans="1:18" ht="15" hidden="1" thickBot="1" x14ac:dyDescent="0.25">
      <c r="A336" s="74">
        <v>6</v>
      </c>
      <c r="B336" s="75" t="s">
        <v>39</v>
      </c>
      <c r="C336" s="8" t="s">
        <v>86</v>
      </c>
      <c r="D336" s="15">
        <v>38000000</v>
      </c>
      <c r="E336" s="15"/>
      <c r="F336" s="15"/>
      <c r="G336" s="80">
        <v>37612500</v>
      </c>
      <c r="H336" s="79">
        <v>0</v>
      </c>
      <c r="I336" s="15">
        <f>+G336+H336</f>
        <v>37612500</v>
      </c>
      <c r="J336" s="16">
        <f>+I336/D336</f>
        <v>0.98980263157894732</v>
      </c>
      <c r="K336" s="80">
        <v>37612500</v>
      </c>
      <c r="L336" s="80">
        <v>0</v>
      </c>
      <c r="M336" s="80">
        <f>+K336+L336</f>
        <v>37612500</v>
      </c>
      <c r="N336" s="16">
        <f>+M336/D336</f>
        <v>0.98980263157894732</v>
      </c>
      <c r="O336" s="80">
        <f>+D336-I336</f>
        <v>387500</v>
      </c>
      <c r="P336" s="77"/>
      <c r="Q336" s="6" t="str">
        <f t="shared" si="141"/>
        <v>OKE</v>
      </c>
      <c r="R336" s="6"/>
    </row>
    <row r="337" spans="1:18" ht="15" hidden="1" thickBot="1" x14ac:dyDescent="0.25">
      <c r="A337" s="74"/>
      <c r="B337" s="74"/>
      <c r="C337" s="8" t="s">
        <v>52</v>
      </c>
      <c r="D337" s="15"/>
      <c r="E337" s="15"/>
      <c r="F337" s="15"/>
      <c r="G337" s="80"/>
      <c r="H337" s="79"/>
      <c r="I337" s="80"/>
      <c r="J337" s="80"/>
      <c r="K337" s="80"/>
      <c r="L337" s="76"/>
      <c r="M337" s="76"/>
      <c r="N337" s="76"/>
      <c r="O337" s="76"/>
      <c r="P337" s="77"/>
      <c r="Q337" s="6" t="str">
        <f t="shared" si="141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41"/>
        <v>OKE</v>
      </c>
      <c r="R338" s="6"/>
    </row>
    <row r="339" spans="1:18" ht="15" hidden="1" thickBot="1" x14ac:dyDescent="0.25">
      <c r="A339" s="74">
        <v>7</v>
      </c>
      <c r="B339" s="75" t="s">
        <v>42</v>
      </c>
      <c r="C339" s="8" t="s">
        <v>53</v>
      </c>
      <c r="D339" s="15">
        <v>60000000</v>
      </c>
      <c r="E339" s="15"/>
      <c r="F339" s="15"/>
      <c r="G339" s="80">
        <v>59091100</v>
      </c>
      <c r="H339" s="79">
        <v>0</v>
      </c>
      <c r="I339" s="15">
        <f>+G339+H339</f>
        <v>59091100</v>
      </c>
      <c r="J339" s="16">
        <f>+I339/D339</f>
        <v>0.98485166666666668</v>
      </c>
      <c r="K339" s="80">
        <v>59091100</v>
      </c>
      <c r="L339" s="80">
        <v>0</v>
      </c>
      <c r="M339" s="80">
        <f>+K339+L339</f>
        <v>59091100</v>
      </c>
      <c r="N339" s="16">
        <f>+M339/D339</f>
        <v>0.98485166666666668</v>
      </c>
      <c r="O339" s="80">
        <f>+D339-I339</f>
        <v>908900</v>
      </c>
      <c r="P339" s="77"/>
      <c r="Q339" s="6" t="str">
        <f t="shared" si="141"/>
        <v>OKE</v>
      </c>
      <c r="R339" s="6"/>
    </row>
    <row r="340" spans="1:18" ht="15" hidden="1" thickBot="1" x14ac:dyDescent="0.25">
      <c r="A340" s="74"/>
      <c r="B340" s="74"/>
      <c r="C340" s="8"/>
      <c r="D340" s="15"/>
      <c r="E340" s="15"/>
      <c r="F340" s="15"/>
      <c r="G340" s="80"/>
      <c r="H340" s="79"/>
      <c r="I340" s="80"/>
      <c r="J340" s="80"/>
      <c r="K340" s="80"/>
      <c r="L340" s="76"/>
      <c r="M340" s="76"/>
      <c r="N340" s="76"/>
      <c r="O340" s="76"/>
      <c r="P340" s="77"/>
      <c r="Q340" s="6" t="str">
        <f t="shared" si="141"/>
        <v>OKE</v>
      </c>
      <c r="R340" s="6"/>
    </row>
    <row r="341" spans="1:18" ht="15" hidden="1" thickBot="1" x14ac:dyDescent="0.25">
      <c r="A341" s="74">
        <v>8</v>
      </c>
      <c r="B341" s="75" t="s">
        <v>24</v>
      </c>
      <c r="C341" s="8" t="s">
        <v>87</v>
      </c>
      <c r="D341" s="15">
        <v>65000000</v>
      </c>
      <c r="E341" s="15"/>
      <c r="F341" s="15"/>
      <c r="G341" s="80">
        <v>38340000</v>
      </c>
      <c r="H341" s="79">
        <v>25460000</v>
      </c>
      <c r="I341" s="15">
        <f>+G341+H341</f>
        <v>63800000</v>
      </c>
      <c r="J341" s="16">
        <f>+I341/D341</f>
        <v>0.98153846153846158</v>
      </c>
      <c r="K341" s="80">
        <v>37852500</v>
      </c>
      <c r="L341" s="80">
        <v>25932500</v>
      </c>
      <c r="M341" s="80">
        <f>+K341+L341</f>
        <v>63785000</v>
      </c>
      <c r="N341" s="16">
        <f>+M341/D341</f>
        <v>0.98130769230769233</v>
      </c>
      <c r="O341" s="80">
        <f>+D341-I341</f>
        <v>1200000</v>
      </c>
      <c r="P341" s="77"/>
      <c r="Q341" s="6" t="str">
        <f t="shared" si="141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46"/>
      <c r="L342" s="76"/>
      <c r="M342" s="76"/>
      <c r="N342" s="76"/>
      <c r="O342" s="76"/>
      <c r="P342" s="77"/>
      <c r="Q342" s="6" t="str">
        <f t="shared" si="141"/>
        <v>OKE</v>
      </c>
      <c r="R342" s="6"/>
    </row>
    <row r="343" spans="1:18" ht="15" hidden="1" thickBot="1" x14ac:dyDescent="0.25">
      <c r="A343" s="74">
        <v>9</v>
      </c>
      <c r="B343" s="75" t="s">
        <v>40</v>
      </c>
      <c r="C343" s="76" t="s">
        <v>88</v>
      </c>
      <c r="D343" s="47">
        <v>90000000</v>
      </c>
      <c r="E343" s="47"/>
      <c r="F343" s="47"/>
      <c r="G343" s="80">
        <v>61020000</v>
      </c>
      <c r="H343" s="79">
        <v>28975500</v>
      </c>
      <c r="I343" s="15">
        <f>+G343+H343</f>
        <v>89995500</v>
      </c>
      <c r="J343" s="16">
        <f>+I343/D343</f>
        <v>0.99995000000000001</v>
      </c>
      <c r="K343" s="80">
        <v>61013000</v>
      </c>
      <c r="L343" s="80">
        <v>28975500</v>
      </c>
      <c r="M343" s="80">
        <f>+K343+L343</f>
        <v>89988500</v>
      </c>
      <c r="N343" s="48">
        <v>0.99980000000000002</v>
      </c>
      <c r="O343" s="80">
        <f>+D343-I343</f>
        <v>4500</v>
      </c>
      <c r="P343" s="77"/>
      <c r="Q343" s="6" t="str">
        <f t="shared" si="141"/>
        <v>OKE</v>
      </c>
      <c r="R343" s="6"/>
    </row>
    <row r="344" spans="1:18" ht="15" hidden="1" thickBot="1" x14ac:dyDescent="0.25">
      <c r="A344" s="74"/>
      <c r="B344" s="76"/>
      <c r="C344" s="76"/>
      <c r="D344" s="8"/>
      <c r="E344" s="8"/>
      <c r="F344" s="8"/>
      <c r="G344" s="76"/>
      <c r="H344" s="82"/>
      <c r="I344" s="76"/>
      <c r="J344" s="76"/>
      <c r="K344" s="76"/>
      <c r="L344" s="76"/>
      <c r="M344" s="76"/>
      <c r="N344" s="76"/>
      <c r="O344" s="76"/>
      <c r="P344" s="77"/>
      <c r="Q344" s="6" t="str">
        <f t="shared" si="141"/>
        <v>OKE</v>
      </c>
      <c r="R344" s="6"/>
    </row>
    <row r="345" spans="1:18" ht="15" hidden="1" thickBot="1" x14ac:dyDescent="0.25">
      <c r="A345" s="74"/>
      <c r="B345" s="76"/>
      <c r="C345" s="9" t="s">
        <v>89</v>
      </c>
      <c r="D345" s="10">
        <f>+D343+D341+D339+D336</f>
        <v>253000000</v>
      </c>
      <c r="E345" s="10"/>
      <c r="F345" s="10"/>
      <c r="G345" s="10">
        <f>+G343+G341+G339+G336</f>
        <v>196063600</v>
      </c>
      <c r="H345" s="11">
        <f>+H343+H341+H339+H336</f>
        <v>54435500</v>
      </c>
      <c r="I345" s="10">
        <f>+G345+H345</f>
        <v>250499100</v>
      </c>
      <c r="J345" s="12">
        <f>+I345/D345</f>
        <v>0.99011501976284588</v>
      </c>
      <c r="K345" s="10">
        <f>+K343+K341+K339+K336</f>
        <v>195569100</v>
      </c>
      <c r="L345" s="10">
        <f>+L343+L341+L339+L336</f>
        <v>54908000</v>
      </c>
      <c r="M345" s="10">
        <f>+K345+L345</f>
        <v>250477100</v>
      </c>
      <c r="N345" s="12">
        <f>+M345/D345</f>
        <v>0.9900280632411067</v>
      </c>
      <c r="O345" s="10">
        <f>+D345-I345</f>
        <v>2500900</v>
      </c>
      <c r="P345" s="77"/>
      <c r="Q345" s="6" t="str">
        <f t="shared" si="141"/>
        <v>OKE</v>
      </c>
      <c r="R345" s="6"/>
    </row>
    <row r="346" spans="1:18" ht="15" hidden="1" thickBot="1" x14ac:dyDescent="0.25">
      <c r="A346" s="85"/>
      <c r="B346" s="261"/>
      <c r="C346" s="34" t="s">
        <v>90</v>
      </c>
      <c r="D346" s="49"/>
      <c r="E346" s="49"/>
      <c r="F346" s="49"/>
      <c r="G346" s="261"/>
      <c r="H346" s="262"/>
      <c r="I346" s="261"/>
      <c r="J346" s="261"/>
      <c r="K346" s="261"/>
      <c r="L346" s="261"/>
      <c r="M346" s="261"/>
      <c r="N346" s="261"/>
      <c r="O346" s="261"/>
      <c r="P346" s="77"/>
      <c r="Q346" s="6" t="str">
        <f t="shared" si="141"/>
        <v>OKE</v>
      </c>
      <c r="R346" s="6"/>
    </row>
    <row r="347" spans="1:18" ht="15" hidden="1" thickBot="1" x14ac:dyDescent="0.25">
      <c r="A347" s="74"/>
      <c r="B347" s="76"/>
      <c r="C347" s="76"/>
      <c r="D347" s="8"/>
      <c r="E347" s="8"/>
      <c r="F347" s="8"/>
      <c r="G347" s="76"/>
      <c r="H347" s="82"/>
      <c r="I347" s="76"/>
      <c r="J347" s="76"/>
      <c r="K347" s="76"/>
      <c r="L347" s="76"/>
      <c r="M347" s="76"/>
      <c r="N347" s="76"/>
      <c r="O347" s="76"/>
      <c r="P347" s="50"/>
      <c r="Q347" s="6" t="str">
        <f t="shared" si="141"/>
        <v>OKE</v>
      </c>
      <c r="R347" s="6"/>
    </row>
    <row r="348" spans="1:18" ht="15" hidden="1" thickBot="1" x14ac:dyDescent="0.25">
      <c r="A348" s="7" t="s">
        <v>41</v>
      </c>
      <c r="B348" s="7" t="s">
        <v>54</v>
      </c>
      <c r="C348" s="9" t="s">
        <v>91</v>
      </c>
      <c r="D348" s="10">
        <f>+D351</f>
        <v>105000000</v>
      </c>
      <c r="E348" s="10"/>
      <c r="F348" s="10"/>
      <c r="G348" s="10">
        <f>+G351</f>
        <v>105000000</v>
      </c>
      <c r="H348" s="11">
        <f>+H351</f>
        <v>0</v>
      </c>
      <c r="I348" s="10">
        <f>+G348+H348</f>
        <v>105000000</v>
      </c>
      <c r="J348" s="12">
        <f>+I348/D348</f>
        <v>1</v>
      </c>
      <c r="K348" s="10">
        <f>+K351</f>
        <v>104800000</v>
      </c>
      <c r="L348" s="10">
        <f>+L351</f>
        <v>0</v>
      </c>
      <c r="M348" s="10">
        <f>+K348+L348</f>
        <v>104800000</v>
      </c>
      <c r="N348" s="12">
        <f>+M348/D348</f>
        <v>0.99809523809523815</v>
      </c>
      <c r="O348" s="10">
        <f>+D348-I348</f>
        <v>0</v>
      </c>
      <c r="P348" s="5"/>
      <c r="Q348" s="6" t="str">
        <f t="shared" si="141"/>
        <v>OKE</v>
      </c>
      <c r="R348" s="6"/>
    </row>
    <row r="349" spans="1:18" ht="15" hidden="1" thickBot="1" x14ac:dyDescent="0.25">
      <c r="A349" s="74"/>
      <c r="B349" s="76"/>
      <c r="C349" s="9" t="s">
        <v>92</v>
      </c>
      <c r="D349" s="15"/>
      <c r="E349" s="15"/>
      <c r="F349" s="15"/>
      <c r="G349" s="80"/>
      <c r="H349" s="79"/>
      <c r="I349" s="80"/>
      <c r="J349" s="80"/>
      <c r="K349" s="80"/>
      <c r="L349" s="76"/>
      <c r="M349" s="76"/>
      <c r="N349" s="76"/>
      <c r="O349" s="76"/>
      <c r="P349" s="5"/>
      <c r="Q349" s="6" t="str">
        <f t="shared" si="141"/>
        <v>OKE</v>
      </c>
      <c r="R349" s="6"/>
    </row>
    <row r="350" spans="1:18" ht="15" hidden="1" thickBot="1" x14ac:dyDescent="0.25">
      <c r="A350" s="74"/>
      <c r="B350" s="76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41"/>
        <v>OKE</v>
      </c>
      <c r="R350" s="6"/>
    </row>
    <row r="351" spans="1:18" ht="15" hidden="1" thickBot="1" x14ac:dyDescent="0.25">
      <c r="A351" s="74">
        <v>10</v>
      </c>
      <c r="B351" s="75" t="s">
        <v>43</v>
      </c>
      <c r="C351" s="8" t="s">
        <v>93</v>
      </c>
      <c r="D351" s="15">
        <v>105000000</v>
      </c>
      <c r="E351" s="15"/>
      <c r="F351" s="15"/>
      <c r="G351" s="80">
        <v>105000000</v>
      </c>
      <c r="H351" s="79">
        <v>0</v>
      </c>
      <c r="I351" s="15">
        <f>+G351+H351</f>
        <v>105000000</v>
      </c>
      <c r="J351" s="16">
        <f>+I351/D351</f>
        <v>1</v>
      </c>
      <c r="K351" s="80">
        <v>104800000</v>
      </c>
      <c r="L351" s="80">
        <v>0</v>
      </c>
      <c r="M351" s="80">
        <f>+K351+L351</f>
        <v>104800000</v>
      </c>
      <c r="N351" s="16">
        <f>+M351/D351</f>
        <v>0.99809523809523815</v>
      </c>
      <c r="O351" s="80">
        <f>+D351-I351</f>
        <v>0</v>
      </c>
      <c r="P351" s="5"/>
      <c r="Q351" s="6" t="str">
        <f t="shared" si="141"/>
        <v>OKE</v>
      </c>
      <c r="R351" s="6"/>
    </row>
    <row r="352" spans="1:18" ht="15" hidden="1" thickBot="1" x14ac:dyDescent="0.25">
      <c r="A352" s="74"/>
      <c r="B352" s="74"/>
      <c r="C352" s="76"/>
      <c r="D352" s="15"/>
      <c r="E352" s="15"/>
      <c r="F352" s="15"/>
      <c r="G352" s="80"/>
      <c r="H352" s="79"/>
      <c r="I352" s="80"/>
      <c r="J352" s="80"/>
      <c r="K352" s="80"/>
      <c r="L352" s="76"/>
      <c r="M352" s="76"/>
      <c r="N352" s="76"/>
      <c r="O352" s="76"/>
      <c r="P352" s="5"/>
      <c r="Q352" s="6" t="str">
        <f t="shared" si="141"/>
        <v>OKE</v>
      </c>
      <c r="R352" s="6"/>
    </row>
    <row r="353" spans="1:18" ht="15" hidden="1" thickBot="1" x14ac:dyDescent="0.25">
      <c r="A353" s="74"/>
      <c r="B353" s="74"/>
      <c r="C353" s="9" t="s">
        <v>94</v>
      </c>
      <c r="D353" s="10">
        <f>+D351</f>
        <v>105000000</v>
      </c>
      <c r="E353" s="10"/>
      <c r="F353" s="10"/>
      <c r="G353" s="10">
        <f>+G351</f>
        <v>105000000</v>
      </c>
      <c r="H353" s="11">
        <f>+H351</f>
        <v>0</v>
      </c>
      <c r="I353" s="10">
        <f>+G353+H353</f>
        <v>105000000</v>
      </c>
      <c r="J353" s="12">
        <f>+I353/D353</f>
        <v>1</v>
      </c>
      <c r="K353" s="10">
        <f>+K351</f>
        <v>104800000</v>
      </c>
      <c r="L353" s="10">
        <f>+L351</f>
        <v>0</v>
      </c>
      <c r="M353" s="10">
        <f>+K353+L353</f>
        <v>104800000</v>
      </c>
      <c r="N353" s="12">
        <f>+M353/D353</f>
        <v>0.99809523809523815</v>
      </c>
      <c r="O353" s="10">
        <f>+D353-I353</f>
        <v>0</v>
      </c>
      <c r="P353" s="5"/>
      <c r="Q353" s="6" t="str">
        <f t="shared" si="141"/>
        <v>OKE</v>
      </c>
      <c r="R353" s="6"/>
    </row>
    <row r="354" spans="1:18" ht="15" hidden="1" thickBot="1" x14ac:dyDescent="0.25">
      <c r="A354" s="85"/>
      <c r="B354" s="85"/>
      <c r="C354" s="34" t="s">
        <v>55</v>
      </c>
      <c r="D354" s="35"/>
      <c r="E354" s="35"/>
      <c r="F354" s="35"/>
      <c r="G354" s="259"/>
      <c r="H354" s="260"/>
      <c r="I354" s="259"/>
      <c r="J354" s="259"/>
      <c r="K354" s="259"/>
      <c r="L354" s="261"/>
      <c r="M354" s="261"/>
      <c r="N354" s="261"/>
      <c r="O354" s="261"/>
      <c r="P354" s="5"/>
      <c r="Q354" s="6" t="str">
        <f t="shared" si="141"/>
        <v>OKE</v>
      </c>
      <c r="R354" s="6"/>
    </row>
    <row r="355" spans="1:18" ht="15" hidden="1" thickBot="1" x14ac:dyDescent="0.25">
      <c r="A355" s="91"/>
      <c r="B355" s="91"/>
      <c r="C355" s="51"/>
      <c r="D355" s="52"/>
      <c r="E355" s="52"/>
      <c r="F355" s="52"/>
      <c r="G355" s="263"/>
      <c r="H355" s="264"/>
      <c r="I355" s="263"/>
      <c r="J355" s="263"/>
      <c r="K355" s="263"/>
      <c r="L355" s="265"/>
      <c r="M355" s="265"/>
      <c r="N355" s="265"/>
      <c r="O355" s="265"/>
      <c r="P355" s="5"/>
      <c r="Q355" s="6" t="str">
        <f t="shared" si="141"/>
        <v>OKE</v>
      </c>
      <c r="R355" s="6"/>
    </row>
    <row r="356" spans="1:18" ht="15" hidden="1" thickBot="1" x14ac:dyDescent="0.25">
      <c r="A356" s="411" t="s">
        <v>95</v>
      </c>
      <c r="B356" s="411"/>
      <c r="C356" s="413" t="s">
        <v>96</v>
      </c>
      <c r="D356" s="415">
        <f>+D353+D345+D300+D292</f>
        <v>785575000</v>
      </c>
      <c r="E356" s="198"/>
      <c r="F356" s="198"/>
      <c r="G356" s="415">
        <f>+G353+G345+G300+G292</f>
        <v>476993900</v>
      </c>
      <c r="H356" s="417">
        <f>+H353+H345+H300+H292</f>
        <v>281460500</v>
      </c>
      <c r="I356" s="415">
        <f>+G356+H356</f>
        <v>758454400</v>
      </c>
      <c r="J356" s="419">
        <f>+I356/D356</f>
        <v>0.96547675269706901</v>
      </c>
      <c r="K356" s="415">
        <f>+K353+K345+K300+K292</f>
        <v>468063900</v>
      </c>
      <c r="L356" s="415">
        <f>+L353+L345+L300+L292</f>
        <v>279050600</v>
      </c>
      <c r="M356" s="421">
        <f>+K356+L356</f>
        <v>747114500</v>
      </c>
      <c r="N356" s="423">
        <f>+M356/D356</f>
        <v>0.95104159373707153</v>
      </c>
      <c r="O356" s="421">
        <f>+D356-I356</f>
        <v>27120600</v>
      </c>
      <c r="P356" s="5"/>
      <c r="Q356" s="6" t="str">
        <f t="shared" si="141"/>
        <v>OKE</v>
      </c>
      <c r="R356" s="6"/>
    </row>
    <row r="357" spans="1:18" ht="15" hidden="1" thickBot="1" x14ac:dyDescent="0.25">
      <c r="A357" s="412"/>
      <c r="B357" s="412"/>
      <c r="C357" s="414"/>
      <c r="D357" s="416"/>
      <c r="E357" s="199"/>
      <c r="F357" s="199"/>
      <c r="G357" s="416"/>
      <c r="H357" s="418"/>
      <c r="I357" s="416"/>
      <c r="J357" s="420"/>
      <c r="K357" s="416"/>
      <c r="L357" s="416"/>
      <c r="M357" s="422"/>
      <c r="N357" s="424"/>
      <c r="O357" s="422"/>
      <c r="P357" s="5"/>
      <c r="Q357" s="6" t="str">
        <f t="shared" si="141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41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41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41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41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41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41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41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41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41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41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41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41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41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41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si="141"/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41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ref="Q374:Q437" si="142">IF(M374&lt;=I374,"OKE","Salah")</f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42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42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42"/>
        <v>OKE</v>
      </c>
      <c r="R377" s="6"/>
    </row>
    <row r="378" spans="1:18" ht="15" hidden="1" thickBot="1" x14ac:dyDescent="0.25">
      <c r="A378" s="90"/>
      <c r="B378" s="90"/>
      <c r="C378" s="37"/>
      <c r="D378" s="37"/>
      <c r="E378" s="37"/>
      <c r="F378" s="37"/>
      <c r="G378" s="90"/>
      <c r="H378" s="266"/>
      <c r="I378" s="90"/>
      <c r="J378" s="90"/>
      <c r="K378" s="90"/>
      <c r="L378" s="267"/>
      <c r="M378" s="90"/>
      <c r="N378" s="90"/>
      <c r="O378" s="90"/>
      <c r="P378" s="5"/>
      <c r="Q378" s="6" t="str">
        <f t="shared" si="142"/>
        <v>OKE</v>
      </c>
      <c r="R378" s="6"/>
    </row>
    <row r="379" spans="1:18" ht="15" hidden="1" thickBot="1" x14ac:dyDescent="0.25">
      <c r="A379" s="90"/>
      <c r="B379" s="90"/>
      <c r="C379" s="37"/>
      <c r="D379" s="37"/>
      <c r="E379" s="37"/>
      <c r="F379" s="37"/>
      <c r="G379" s="90"/>
      <c r="H379" s="266"/>
      <c r="I379" s="90"/>
      <c r="J379" s="90"/>
      <c r="K379" s="90"/>
      <c r="L379" s="267"/>
      <c r="M379" s="90"/>
      <c r="N379" s="90"/>
      <c r="O379" s="90"/>
      <c r="P379" s="5"/>
      <c r="Q379" s="6" t="str">
        <f t="shared" si="142"/>
        <v>OKE</v>
      </c>
      <c r="R379" s="6"/>
    </row>
    <row r="380" spans="1:18" ht="14.1" hidden="1" customHeight="1" x14ac:dyDescent="0.2">
      <c r="A380" s="410" t="s">
        <v>0</v>
      </c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0"/>
      <c r="O380" s="410"/>
      <c r="P380" s="5"/>
      <c r="Q380" s="6" t="str">
        <f t="shared" si="142"/>
        <v>OKE</v>
      </c>
      <c r="R380" s="6"/>
    </row>
    <row r="381" spans="1:18" ht="14.1" hidden="1" customHeight="1" x14ac:dyDescent="0.2">
      <c r="A381" s="410" t="s">
        <v>1</v>
      </c>
      <c r="B381" s="410"/>
      <c r="C381" s="410"/>
      <c r="D381" s="410"/>
      <c r="E381" s="410"/>
      <c r="F381" s="410"/>
      <c r="G381" s="410"/>
      <c r="H381" s="410"/>
      <c r="I381" s="410"/>
      <c r="J381" s="410"/>
      <c r="K381" s="410"/>
      <c r="L381" s="410"/>
      <c r="M381" s="410"/>
      <c r="N381" s="410"/>
      <c r="O381" s="410"/>
      <c r="P381" s="5"/>
      <c r="Q381" s="6" t="str">
        <f t="shared" si="142"/>
        <v>OKE</v>
      </c>
      <c r="R381" s="6"/>
    </row>
    <row r="382" spans="1:18" ht="14.1" hidden="1" customHeight="1" x14ac:dyDescent="0.2">
      <c r="A382" s="407" t="s">
        <v>111</v>
      </c>
      <c r="B382" s="407"/>
      <c r="C382" s="407"/>
      <c r="D382" s="407"/>
      <c r="E382" s="407"/>
      <c r="F382" s="407"/>
      <c r="G382" s="407"/>
      <c r="H382" s="407"/>
      <c r="I382" s="407"/>
      <c r="J382" s="407"/>
      <c r="K382" s="407"/>
      <c r="L382" s="407"/>
      <c r="M382" s="407"/>
      <c r="N382" s="407"/>
      <c r="O382" s="407"/>
      <c r="P382" s="5"/>
      <c r="Q382" s="6" t="str">
        <f t="shared" si="142"/>
        <v>OKE</v>
      </c>
      <c r="R382" s="6"/>
    </row>
    <row r="383" spans="1:18" ht="14.1" hidden="1" customHeight="1" x14ac:dyDescent="0.2">
      <c r="A383" s="361" t="s">
        <v>2</v>
      </c>
      <c r="B383" s="361" t="s">
        <v>3</v>
      </c>
      <c r="C383" s="361" t="s">
        <v>4</v>
      </c>
      <c r="D383" s="361" t="s">
        <v>5</v>
      </c>
      <c r="E383" s="197"/>
      <c r="F383" s="197"/>
      <c r="G383" s="358" t="s">
        <v>11</v>
      </c>
      <c r="H383" s="359"/>
      <c r="I383" s="359"/>
      <c r="J383" s="360"/>
      <c r="K383" s="358" t="s">
        <v>9</v>
      </c>
      <c r="L383" s="359"/>
      <c r="M383" s="359"/>
      <c r="N383" s="360"/>
      <c r="O383" s="361" t="s">
        <v>10</v>
      </c>
      <c r="P383" s="5"/>
      <c r="Q383" s="6" t="str">
        <f t="shared" si="142"/>
        <v>OKE</v>
      </c>
      <c r="R383" s="6"/>
    </row>
    <row r="384" spans="1:18" ht="14.1" hidden="1" customHeight="1" x14ac:dyDescent="0.2">
      <c r="A384" s="362"/>
      <c r="B384" s="362"/>
      <c r="C384" s="362"/>
      <c r="D384" s="362"/>
      <c r="E384" s="44"/>
      <c r="F384" s="44"/>
      <c r="G384" s="358" t="s">
        <v>74</v>
      </c>
      <c r="H384" s="359"/>
      <c r="I384" s="359"/>
      <c r="J384" s="360"/>
      <c r="K384" s="358" t="s">
        <v>12</v>
      </c>
      <c r="L384" s="359"/>
      <c r="M384" s="359"/>
      <c r="N384" s="360"/>
      <c r="O384" s="362"/>
      <c r="P384" s="5"/>
      <c r="Q384" s="6" t="str">
        <f t="shared" si="142"/>
        <v>OKE</v>
      </c>
      <c r="R384" s="6"/>
    </row>
    <row r="385" spans="1:18" ht="15" hidden="1" thickBot="1" x14ac:dyDescent="0.25">
      <c r="A385" s="378"/>
      <c r="B385" s="378"/>
      <c r="C385" s="378"/>
      <c r="D385" s="378"/>
      <c r="E385" s="196"/>
      <c r="F385" s="196"/>
      <c r="G385" s="144" t="s">
        <v>13</v>
      </c>
      <c r="H385" s="145" t="s">
        <v>14</v>
      </c>
      <c r="I385" s="144" t="s">
        <v>15</v>
      </c>
      <c r="J385" s="144" t="s">
        <v>16</v>
      </c>
      <c r="K385" s="144" t="s">
        <v>13</v>
      </c>
      <c r="L385" s="144" t="s">
        <v>14</v>
      </c>
      <c r="M385" s="144" t="s">
        <v>15</v>
      </c>
      <c r="N385" s="144" t="s">
        <v>16</v>
      </c>
      <c r="O385" s="378"/>
      <c r="P385" s="5"/>
      <c r="Q385" s="6" t="str">
        <f t="shared" si="142"/>
        <v>OKE</v>
      </c>
      <c r="R385" s="6"/>
    </row>
    <row r="386" spans="1:18" ht="15" hidden="1" thickBot="1" x14ac:dyDescent="0.25">
      <c r="A386" s="2">
        <v>1</v>
      </c>
      <c r="B386" s="2">
        <v>2</v>
      </c>
      <c r="C386" s="2">
        <v>3</v>
      </c>
      <c r="D386" s="2">
        <v>4</v>
      </c>
      <c r="E386" s="2"/>
      <c r="F386" s="2"/>
      <c r="G386" s="2">
        <v>5</v>
      </c>
      <c r="H386" s="145">
        <v>6</v>
      </c>
      <c r="I386" s="45" t="s">
        <v>77</v>
      </c>
      <c r="J386" s="45" t="s">
        <v>78</v>
      </c>
      <c r="K386" s="45">
        <v>9</v>
      </c>
      <c r="L386" s="45">
        <v>10</v>
      </c>
      <c r="M386" s="45" t="s">
        <v>79</v>
      </c>
      <c r="N386" s="45" t="s">
        <v>80</v>
      </c>
      <c r="O386" s="45" t="s">
        <v>81</v>
      </c>
      <c r="P386" s="5"/>
      <c r="Q386" s="6" t="str">
        <f t="shared" si="142"/>
        <v>OKE</v>
      </c>
      <c r="R386" s="6"/>
    </row>
    <row r="387" spans="1:18" ht="15" hidden="1" thickBot="1" x14ac:dyDescent="0.25">
      <c r="A387" s="74"/>
      <c r="B387" s="76"/>
      <c r="C387" s="76"/>
      <c r="D387" s="8"/>
      <c r="E387" s="8"/>
      <c r="F387" s="8"/>
      <c r="G387" s="76"/>
      <c r="H387" s="82"/>
      <c r="I387" s="76"/>
      <c r="J387" s="76"/>
      <c r="K387" s="76"/>
      <c r="L387" s="76"/>
      <c r="M387" s="76"/>
      <c r="N387" s="241"/>
      <c r="O387" s="241"/>
      <c r="P387" s="5"/>
      <c r="Q387" s="6" t="str">
        <f t="shared" si="142"/>
        <v>OKE</v>
      </c>
      <c r="R387" s="6"/>
    </row>
    <row r="388" spans="1:18" ht="15" hidden="1" thickBot="1" x14ac:dyDescent="0.25">
      <c r="A388" s="74"/>
      <c r="B388" s="76"/>
      <c r="C388" s="244" t="s">
        <v>97</v>
      </c>
      <c r="D388" s="8"/>
      <c r="E388" s="8"/>
      <c r="F388" s="8"/>
      <c r="G388" s="76"/>
      <c r="H388" s="82"/>
      <c r="I388" s="76"/>
      <c r="J388" s="76"/>
      <c r="K388" s="76"/>
      <c r="L388" s="76"/>
      <c r="M388" s="76"/>
      <c r="N388" s="76"/>
      <c r="O388" s="76"/>
      <c r="P388" s="5"/>
      <c r="Q388" s="6" t="str">
        <f t="shared" si="142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42"/>
        <v>OKE</v>
      </c>
      <c r="R389" s="6"/>
    </row>
    <row r="390" spans="1:18" ht="15" hidden="1" thickBot="1" x14ac:dyDescent="0.25">
      <c r="A390" s="7" t="s">
        <v>22</v>
      </c>
      <c r="B390" s="7" t="s">
        <v>23</v>
      </c>
      <c r="C390" s="9" t="s">
        <v>45</v>
      </c>
      <c r="D390" s="10">
        <f>+D392+D394+D399+D401+D403+D405+D407+D409</f>
        <v>268080000</v>
      </c>
      <c r="E390" s="10"/>
      <c r="F390" s="10"/>
      <c r="G390" s="10">
        <f>+G392+G394+G399+G401+G403+G405+G407+G409</f>
        <v>133763800</v>
      </c>
      <c r="H390" s="11">
        <f>+H392+H394+H399+H401+H403+H405+H407+H409</f>
        <v>8628300</v>
      </c>
      <c r="I390" s="10">
        <f>+G390+H390</f>
        <v>142392100</v>
      </c>
      <c r="J390" s="12">
        <f>+I390/D390</f>
        <v>0.53115525216353332</v>
      </c>
      <c r="K390" s="10">
        <f>+K392+K394+K399+K401+K403+K405+K407+K409</f>
        <v>114241700</v>
      </c>
      <c r="L390" s="10">
        <f>+L392+L394+L399+L401+L403+L405+L407+L409</f>
        <v>26474800</v>
      </c>
      <c r="M390" s="10">
        <f>+K390+L390</f>
        <v>140716500</v>
      </c>
      <c r="N390" s="12">
        <f>+M390/D390</f>
        <v>0.52490487914055506</v>
      </c>
      <c r="O390" s="10">
        <f>+D390-I390</f>
        <v>125687900</v>
      </c>
      <c r="P390" s="5"/>
      <c r="Q390" s="6" t="str">
        <f t="shared" si="142"/>
        <v>OKE</v>
      </c>
      <c r="R390" s="6"/>
    </row>
    <row r="391" spans="1:18" ht="15" hidden="1" thickBot="1" x14ac:dyDescent="0.25">
      <c r="A391" s="74"/>
      <c r="B391" s="74"/>
      <c r="C391" s="76"/>
      <c r="D391" s="53"/>
      <c r="E391" s="53"/>
      <c r="F391" s="53"/>
      <c r="G391" s="268"/>
      <c r="H391" s="269"/>
      <c r="I391" s="268"/>
      <c r="J391" s="268"/>
      <c r="K391" s="268"/>
      <c r="L391" s="76"/>
      <c r="M391" s="76"/>
      <c r="N391" s="76"/>
      <c r="O391" s="76"/>
      <c r="P391" s="5"/>
      <c r="Q391" s="6" t="str">
        <f t="shared" si="142"/>
        <v>OKE</v>
      </c>
      <c r="R391" s="6"/>
    </row>
    <row r="392" spans="1:18" ht="15" hidden="1" thickBot="1" x14ac:dyDescent="0.25">
      <c r="A392" s="74">
        <v>1</v>
      </c>
      <c r="B392" s="75" t="s">
        <v>43</v>
      </c>
      <c r="C392" s="76" t="s">
        <v>98</v>
      </c>
      <c r="D392" s="15">
        <v>15000000</v>
      </c>
      <c r="E392" s="15"/>
      <c r="F392" s="15"/>
      <c r="G392" s="80">
        <v>11390500</v>
      </c>
      <c r="H392" s="79">
        <v>1097000</v>
      </c>
      <c r="I392" s="15">
        <f>+G392+H392</f>
        <v>12487500</v>
      </c>
      <c r="J392" s="16">
        <f>+I392/D392</f>
        <v>0.83250000000000002</v>
      </c>
      <c r="K392" s="80">
        <v>8898000</v>
      </c>
      <c r="L392" s="80">
        <v>1952000</v>
      </c>
      <c r="M392" s="80">
        <f>+K392+L392</f>
        <v>10850000</v>
      </c>
      <c r="N392" s="16">
        <f>+M392/D392</f>
        <v>0.72333333333333338</v>
      </c>
      <c r="O392" s="80">
        <f>+D392-I392</f>
        <v>2512500</v>
      </c>
      <c r="P392" s="5"/>
      <c r="Q392" s="6" t="str">
        <f t="shared" si="142"/>
        <v>OKE</v>
      </c>
      <c r="R392" s="6"/>
    </row>
    <row r="393" spans="1:18" ht="15" hidden="1" thickBot="1" x14ac:dyDescent="0.25">
      <c r="A393" s="74"/>
      <c r="B393" s="74"/>
      <c r="C393" s="76"/>
      <c r="D393" s="15"/>
      <c r="E393" s="15"/>
      <c r="F393" s="15"/>
      <c r="G393" s="80"/>
      <c r="H393" s="79"/>
      <c r="I393" s="80"/>
      <c r="J393" s="80"/>
      <c r="K393" s="80"/>
      <c r="L393" s="76"/>
      <c r="M393" s="76"/>
      <c r="N393" s="76"/>
      <c r="O393" s="76"/>
      <c r="P393" s="5"/>
      <c r="Q393" s="6" t="str">
        <f t="shared" si="142"/>
        <v>OKE</v>
      </c>
      <c r="R393" s="6"/>
    </row>
    <row r="394" spans="1:18" ht="15" hidden="1" thickBot="1" x14ac:dyDescent="0.25">
      <c r="A394" s="74">
        <v>2</v>
      </c>
      <c r="B394" s="75" t="s">
        <v>39</v>
      </c>
      <c r="C394" s="76" t="s">
        <v>50</v>
      </c>
      <c r="D394" s="15">
        <v>5000000</v>
      </c>
      <c r="E394" s="15"/>
      <c r="F394" s="15"/>
      <c r="G394" s="80">
        <v>4980000</v>
      </c>
      <c r="H394" s="79">
        <v>0</v>
      </c>
      <c r="I394" s="15">
        <f>+G394+H394</f>
        <v>4980000</v>
      </c>
      <c r="J394" s="16">
        <f>+I394/D394</f>
        <v>0.996</v>
      </c>
      <c r="K394" s="80">
        <v>3320000</v>
      </c>
      <c r="L394" s="80">
        <v>1660000</v>
      </c>
      <c r="M394" s="80">
        <f>+K394+L394</f>
        <v>4980000</v>
      </c>
      <c r="N394" s="16">
        <f>+M394/D394</f>
        <v>0.996</v>
      </c>
      <c r="O394" s="80">
        <f>+D394-I394</f>
        <v>20000</v>
      </c>
      <c r="P394" s="5"/>
      <c r="Q394" s="6" t="str">
        <f t="shared" si="142"/>
        <v>OKE</v>
      </c>
      <c r="R394" s="6"/>
    </row>
    <row r="395" spans="1:18" ht="15" hidden="1" thickBot="1" x14ac:dyDescent="0.25">
      <c r="A395" s="74"/>
      <c r="B395" s="75"/>
      <c r="C395" s="76"/>
      <c r="D395" s="15"/>
      <c r="E395" s="15"/>
      <c r="F395" s="15"/>
      <c r="G395" s="80"/>
      <c r="H395" s="79"/>
      <c r="I395" s="15"/>
      <c r="J395" s="16"/>
      <c r="K395" s="80"/>
      <c r="L395" s="80"/>
      <c r="M395" s="80"/>
      <c r="N395" s="16"/>
      <c r="O395" s="80"/>
      <c r="P395" s="5"/>
      <c r="Q395" s="6" t="str">
        <f t="shared" si="142"/>
        <v>OKE</v>
      </c>
      <c r="R395" s="6"/>
    </row>
    <row r="396" spans="1:18" ht="15" hidden="1" thickBot="1" x14ac:dyDescent="0.25">
      <c r="A396" s="74"/>
      <c r="B396" s="18" t="s">
        <v>24</v>
      </c>
      <c r="C396" s="19" t="s">
        <v>25</v>
      </c>
      <c r="D396" s="20">
        <v>77530000</v>
      </c>
      <c r="E396" s="20"/>
      <c r="F396" s="20"/>
      <c r="G396" s="20">
        <v>37840000</v>
      </c>
      <c r="H396" s="21">
        <v>3330000</v>
      </c>
      <c r="I396" s="20">
        <f>+G396+H396</f>
        <v>41170000</v>
      </c>
      <c r="J396" s="22">
        <f>+I396/D396</f>
        <v>0.53102025022571908</v>
      </c>
      <c r="K396" s="20">
        <v>34735000</v>
      </c>
      <c r="L396" s="20">
        <v>2880000</v>
      </c>
      <c r="M396" s="20">
        <f>+K396+L396</f>
        <v>37615000</v>
      </c>
      <c r="N396" s="22">
        <f>+M396/D396</f>
        <v>0.48516703211660001</v>
      </c>
      <c r="O396" s="20">
        <f>+D396-I396</f>
        <v>36360000</v>
      </c>
      <c r="P396" s="5"/>
      <c r="Q396" s="6" t="str">
        <f t="shared" si="142"/>
        <v>OKE</v>
      </c>
      <c r="R396" s="6"/>
    </row>
    <row r="397" spans="1:18" ht="15" hidden="1" thickBot="1" x14ac:dyDescent="0.25">
      <c r="A397" s="74"/>
      <c r="B397" s="18" t="s">
        <v>24</v>
      </c>
      <c r="C397" s="19" t="s">
        <v>28</v>
      </c>
      <c r="D397" s="20">
        <v>-34450000</v>
      </c>
      <c r="E397" s="20"/>
      <c r="F397" s="20"/>
      <c r="G397" s="20"/>
      <c r="H397" s="21">
        <v>-9800000</v>
      </c>
      <c r="I397" s="20"/>
      <c r="J397" s="22"/>
      <c r="K397" s="20"/>
      <c r="L397" s="20">
        <v>-9800000</v>
      </c>
      <c r="M397" s="20"/>
      <c r="N397" s="22"/>
      <c r="O397" s="20"/>
      <c r="P397" s="5"/>
      <c r="Q397" s="6" t="str">
        <f t="shared" si="142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15"/>
      <c r="J398" s="16"/>
      <c r="K398" s="80"/>
      <c r="L398" s="76"/>
      <c r="M398" s="80"/>
      <c r="N398" s="16"/>
      <c r="O398" s="80"/>
      <c r="P398" s="5"/>
      <c r="Q398" s="6" t="str">
        <f t="shared" si="142"/>
        <v>OKE</v>
      </c>
      <c r="R398" s="6"/>
    </row>
    <row r="399" spans="1:18" ht="15" hidden="1" thickBot="1" x14ac:dyDescent="0.25">
      <c r="A399" s="74">
        <v>4</v>
      </c>
      <c r="B399" s="75" t="s">
        <v>24</v>
      </c>
      <c r="C399" s="76" t="s">
        <v>25</v>
      </c>
      <c r="D399" s="15">
        <v>43080000</v>
      </c>
      <c r="E399" s="15"/>
      <c r="F399" s="15"/>
      <c r="G399" s="80">
        <v>38030000</v>
      </c>
      <c r="H399" s="79">
        <v>0</v>
      </c>
      <c r="I399" s="15">
        <f>+G399+H399</f>
        <v>38030000</v>
      </c>
      <c r="J399" s="16">
        <f>+I399/D399</f>
        <v>0.88277623026926644</v>
      </c>
      <c r="K399" s="80">
        <v>31370000</v>
      </c>
      <c r="L399" s="80">
        <v>6660000</v>
      </c>
      <c r="M399" s="80">
        <f>+K399+L399</f>
        <v>38030000</v>
      </c>
      <c r="N399" s="16">
        <f>+M399/D399</f>
        <v>0.88277623026926644</v>
      </c>
      <c r="O399" s="80">
        <f>+D399-I399</f>
        <v>5050000</v>
      </c>
      <c r="P399" s="5"/>
      <c r="Q399" s="6" t="str">
        <f t="shared" si="142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42"/>
        <v>OKE</v>
      </c>
      <c r="R400" s="6"/>
    </row>
    <row r="401" spans="1:18" ht="15" hidden="1" thickBot="1" x14ac:dyDescent="0.25">
      <c r="A401" s="74">
        <v>5</v>
      </c>
      <c r="B401" s="75" t="s">
        <v>46</v>
      </c>
      <c r="C401" s="76" t="s">
        <v>47</v>
      </c>
      <c r="D401" s="15">
        <v>30000000</v>
      </c>
      <c r="E401" s="15"/>
      <c r="F401" s="15"/>
      <c r="G401" s="80">
        <v>15789600</v>
      </c>
      <c r="H401" s="79">
        <v>1434200</v>
      </c>
      <c r="I401" s="15">
        <f>+G401+H401</f>
        <v>17223800</v>
      </c>
      <c r="J401" s="16">
        <f>+I401/D401</f>
        <v>0.57412666666666667</v>
      </c>
      <c r="K401" s="80">
        <v>14316300</v>
      </c>
      <c r="L401" s="80">
        <v>2869400</v>
      </c>
      <c r="M401" s="80">
        <f>+K401+L401</f>
        <v>17185700</v>
      </c>
      <c r="N401" s="16">
        <f>+M401/D401</f>
        <v>0.57285666666666668</v>
      </c>
      <c r="O401" s="80">
        <f>+D401-I401</f>
        <v>12776200</v>
      </c>
      <c r="P401" s="5"/>
      <c r="Q401" s="6" t="str">
        <f t="shared" si="142"/>
        <v>OKE</v>
      </c>
      <c r="R401" s="6"/>
    </row>
    <row r="402" spans="1:18" ht="15" hidden="1" thickBot="1" x14ac:dyDescent="0.25">
      <c r="A402" s="74"/>
      <c r="B402" s="74"/>
      <c r="C402" s="76"/>
      <c r="D402" s="15"/>
      <c r="E402" s="15"/>
      <c r="F402" s="15"/>
      <c r="G402" s="80"/>
      <c r="H402" s="79"/>
      <c r="I402" s="80"/>
      <c r="J402" s="80"/>
      <c r="K402" s="80"/>
      <c r="L402" s="76"/>
      <c r="M402" s="76"/>
      <c r="N402" s="76"/>
      <c r="O402" s="76"/>
      <c r="P402" s="5"/>
      <c r="Q402" s="6" t="str">
        <f t="shared" si="142"/>
        <v>OKE</v>
      </c>
      <c r="R402" s="6"/>
    </row>
    <row r="403" spans="1:18" ht="15" hidden="1" thickBot="1" x14ac:dyDescent="0.25">
      <c r="A403" s="74">
        <v>6</v>
      </c>
      <c r="B403" s="75" t="s">
        <v>26</v>
      </c>
      <c r="C403" s="76" t="s">
        <v>27</v>
      </c>
      <c r="D403" s="15">
        <v>98400000</v>
      </c>
      <c r="E403" s="15"/>
      <c r="F403" s="15"/>
      <c r="G403" s="80">
        <v>27741800</v>
      </c>
      <c r="H403" s="79">
        <v>1373600</v>
      </c>
      <c r="I403" s="15">
        <f>+G403+H403</f>
        <v>29115400</v>
      </c>
      <c r="J403" s="16">
        <f>+I403/D403</f>
        <v>0.2958882113821138</v>
      </c>
      <c r="K403" s="80">
        <v>26392700</v>
      </c>
      <c r="L403" s="80">
        <v>2722700</v>
      </c>
      <c r="M403" s="80">
        <f>+K403+L403</f>
        <v>29115400</v>
      </c>
      <c r="N403" s="16">
        <f>+M403/D403</f>
        <v>0.2958882113821138</v>
      </c>
      <c r="O403" s="80">
        <f>+D403-I403</f>
        <v>69284600</v>
      </c>
      <c r="P403" s="5"/>
      <c r="Q403" s="6" t="str">
        <f t="shared" si="142"/>
        <v>OKE</v>
      </c>
      <c r="R403" s="6"/>
    </row>
    <row r="404" spans="1:18" ht="15" hidden="1" thickBot="1" x14ac:dyDescent="0.25">
      <c r="A404" s="74"/>
      <c r="B404" s="75"/>
      <c r="C404" s="76"/>
      <c r="D404" s="15"/>
      <c r="E404" s="15"/>
      <c r="F404" s="15"/>
      <c r="G404" s="80"/>
      <c r="H404" s="79"/>
      <c r="I404" s="10"/>
      <c r="J404" s="16"/>
      <c r="K404" s="80"/>
      <c r="L404" s="93"/>
      <c r="M404" s="80"/>
      <c r="N404" s="16"/>
      <c r="O404" s="80"/>
      <c r="P404" s="5"/>
      <c r="Q404" s="6" t="str">
        <f t="shared" si="142"/>
        <v>OKE</v>
      </c>
      <c r="R404" s="6"/>
    </row>
    <row r="405" spans="1:18" ht="15" hidden="1" thickBot="1" x14ac:dyDescent="0.25">
      <c r="A405" s="74">
        <v>7</v>
      </c>
      <c r="B405" s="75" t="s">
        <v>44</v>
      </c>
      <c r="C405" s="76" t="s">
        <v>57</v>
      </c>
      <c r="D405" s="15">
        <v>5000000</v>
      </c>
      <c r="E405" s="15"/>
      <c r="F405" s="15"/>
      <c r="G405" s="80">
        <v>4999000</v>
      </c>
      <c r="H405" s="79">
        <v>0</v>
      </c>
      <c r="I405" s="15">
        <f>+G405+H405</f>
        <v>4999000</v>
      </c>
      <c r="J405" s="16">
        <v>0.999</v>
      </c>
      <c r="K405" s="80">
        <v>3953500</v>
      </c>
      <c r="L405" s="80">
        <v>1045500</v>
      </c>
      <c r="M405" s="80">
        <f>+K405+L405</f>
        <v>4999000</v>
      </c>
      <c r="N405" s="16">
        <f>+M405/D405</f>
        <v>0.99980000000000002</v>
      </c>
      <c r="O405" s="80">
        <f>+D405-I405</f>
        <v>1000</v>
      </c>
      <c r="P405" s="5"/>
      <c r="Q405" s="6" t="str">
        <f t="shared" si="142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42"/>
        <v>OKE</v>
      </c>
      <c r="R406" s="6"/>
    </row>
    <row r="407" spans="1:18" ht="15" hidden="1" thickBot="1" x14ac:dyDescent="0.25">
      <c r="A407" s="74">
        <v>8</v>
      </c>
      <c r="B407" s="75" t="s">
        <v>29</v>
      </c>
      <c r="C407" s="76" t="s">
        <v>30</v>
      </c>
      <c r="D407" s="15">
        <v>51600000</v>
      </c>
      <c r="E407" s="15"/>
      <c r="F407" s="15"/>
      <c r="G407" s="80">
        <v>13832900</v>
      </c>
      <c r="H407" s="79">
        <v>1723500</v>
      </c>
      <c r="I407" s="15">
        <f>+G407+H407</f>
        <v>15556400</v>
      </c>
      <c r="J407" s="16">
        <f>+I407/D407</f>
        <v>0.30148062015503874</v>
      </c>
      <c r="K407" s="80">
        <v>12211200</v>
      </c>
      <c r="L407" s="80">
        <v>3345200</v>
      </c>
      <c r="M407" s="80">
        <f>+K407+L407</f>
        <v>15556400</v>
      </c>
      <c r="N407" s="16">
        <f>+M407/D407</f>
        <v>0.30148062015503874</v>
      </c>
      <c r="O407" s="80">
        <f>+D407-I407</f>
        <v>36043600</v>
      </c>
      <c r="P407" s="5"/>
      <c r="Q407" s="6" t="str">
        <f t="shared" si="142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42"/>
        <v>OKE</v>
      </c>
      <c r="R408" s="6"/>
    </row>
    <row r="409" spans="1:18" ht="15" hidden="1" thickBot="1" x14ac:dyDescent="0.25">
      <c r="A409" s="74">
        <v>9</v>
      </c>
      <c r="B409" s="75" t="s">
        <v>62</v>
      </c>
      <c r="C409" s="76" t="s">
        <v>68</v>
      </c>
      <c r="D409" s="15">
        <v>20000000</v>
      </c>
      <c r="E409" s="15"/>
      <c r="F409" s="15"/>
      <c r="G409" s="80">
        <v>17000000</v>
      </c>
      <c r="H409" s="79">
        <v>3000000</v>
      </c>
      <c r="I409" s="15">
        <f>+G409+H409</f>
        <v>20000000</v>
      </c>
      <c r="J409" s="16">
        <f>+I409/D409</f>
        <v>1</v>
      </c>
      <c r="K409" s="80">
        <v>13780000</v>
      </c>
      <c r="L409" s="80">
        <v>6220000</v>
      </c>
      <c r="M409" s="80">
        <f>+K409+L409</f>
        <v>20000000</v>
      </c>
      <c r="N409" s="16">
        <f>+M409/D409</f>
        <v>1</v>
      </c>
      <c r="O409" s="80">
        <f>+D409-I409</f>
        <v>0</v>
      </c>
      <c r="P409" s="5"/>
      <c r="Q409" s="6" t="str">
        <f t="shared" si="142"/>
        <v>OKE</v>
      </c>
      <c r="R409" s="6"/>
    </row>
    <row r="410" spans="1:18" ht="15" hidden="1" thickBot="1" x14ac:dyDescent="0.25">
      <c r="A410" s="74"/>
      <c r="B410" s="74"/>
      <c r="C410" s="76"/>
      <c r="D410" s="15"/>
      <c r="E410" s="15"/>
      <c r="F410" s="15"/>
      <c r="G410" s="80"/>
      <c r="H410" s="79"/>
      <c r="I410" s="80"/>
      <c r="J410" s="80"/>
      <c r="K410" s="80"/>
      <c r="L410" s="76"/>
      <c r="M410" s="76"/>
      <c r="N410" s="76"/>
      <c r="O410" s="76"/>
      <c r="P410" s="5"/>
      <c r="Q410" s="6" t="str">
        <f t="shared" si="142"/>
        <v>OKE</v>
      </c>
      <c r="R410" s="6"/>
    </row>
    <row r="411" spans="1:18" ht="15" hidden="1" thickBot="1" x14ac:dyDescent="0.25">
      <c r="A411" s="74"/>
      <c r="B411" s="74"/>
      <c r="C411" s="9" t="s">
        <v>48</v>
      </c>
      <c r="D411" s="10">
        <f>+D409+D407+D405+D403+D401+D399+D394+D392</f>
        <v>268080000</v>
      </c>
      <c r="E411" s="10"/>
      <c r="F411" s="10"/>
      <c r="G411" s="10">
        <f>+G409+G407+G405+G403+G401+G399+G394+G392</f>
        <v>133763800</v>
      </c>
      <c r="H411" s="11">
        <f>+H409+H407+H405+H403+H401+H399+H394+H392</f>
        <v>8628300</v>
      </c>
      <c r="I411" s="10">
        <f>+G411+H411</f>
        <v>142392100</v>
      </c>
      <c r="J411" s="12">
        <f>+I411/D411</f>
        <v>0.53115525216353332</v>
      </c>
      <c r="K411" s="10">
        <f>+K409+K407+K405+K403+K401+K399+K394+K392</f>
        <v>114241700</v>
      </c>
      <c r="L411" s="10">
        <f>+L409+L407+L405+L403+L401+L399+L394+L392</f>
        <v>26474800</v>
      </c>
      <c r="M411" s="10">
        <f>+K411+L411</f>
        <v>140716500</v>
      </c>
      <c r="N411" s="12">
        <f>+M411/D411</f>
        <v>0.52490487914055506</v>
      </c>
      <c r="O411" s="10">
        <f>+D411-I411</f>
        <v>125687900</v>
      </c>
      <c r="P411" s="5"/>
      <c r="Q411" s="6" t="str">
        <f t="shared" si="142"/>
        <v>OKE</v>
      </c>
      <c r="R411" s="6"/>
    </row>
    <row r="412" spans="1:18" ht="15" hidden="1" thickBot="1" x14ac:dyDescent="0.25">
      <c r="A412" s="85"/>
      <c r="B412" s="85"/>
      <c r="C412" s="34" t="s">
        <v>31</v>
      </c>
      <c r="D412" s="35"/>
      <c r="E412" s="35"/>
      <c r="F412" s="35"/>
      <c r="G412" s="259"/>
      <c r="H412" s="260"/>
      <c r="I412" s="259"/>
      <c r="J412" s="259"/>
      <c r="K412" s="259"/>
      <c r="L412" s="261"/>
      <c r="M412" s="261"/>
      <c r="N412" s="261"/>
      <c r="O412" s="261"/>
      <c r="P412" s="5"/>
      <c r="Q412" s="6" t="str">
        <f t="shared" si="142"/>
        <v>OKE</v>
      </c>
      <c r="R412" s="6"/>
    </row>
    <row r="413" spans="1:18" ht="15" hidden="1" thickBot="1" x14ac:dyDescent="0.25">
      <c r="A413" s="74"/>
      <c r="B413" s="74"/>
      <c r="C413" s="76"/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42"/>
        <v>OKE</v>
      </c>
      <c r="R413" s="6"/>
    </row>
    <row r="414" spans="1:18" ht="15" hidden="1" thickBot="1" x14ac:dyDescent="0.25">
      <c r="A414" s="7" t="s">
        <v>32</v>
      </c>
      <c r="B414" s="7" t="s">
        <v>33</v>
      </c>
      <c r="C414" s="9" t="s">
        <v>64</v>
      </c>
      <c r="D414" s="10">
        <f>+D417</f>
        <v>10000000</v>
      </c>
      <c r="E414" s="10"/>
      <c r="F414" s="10"/>
      <c r="G414" s="10">
        <f>+G417</f>
        <v>8500000</v>
      </c>
      <c r="H414" s="11">
        <f>+H417</f>
        <v>0</v>
      </c>
      <c r="I414" s="10">
        <f>+G414+H414</f>
        <v>8500000</v>
      </c>
      <c r="J414" s="12">
        <f>+I414/D414</f>
        <v>0.85</v>
      </c>
      <c r="K414" s="10">
        <f>+K417</f>
        <v>6435000</v>
      </c>
      <c r="L414" s="10">
        <f>+L417</f>
        <v>2420000</v>
      </c>
      <c r="M414" s="10">
        <f>+K414+L414</f>
        <v>8855000</v>
      </c>
      <c r="N414" s="12">
        <f>+M414/D414</f>
        <v>0.88549999999999995</v>
      </c>
      <c r="O414" s="10">
        <f>+D414-I414</f>
        <v>1500000</v>
      </c>
      <c r="P414" s="5"/>
      <c r="Q414" s="6" t="str">
        <f t="shared" si="142"/>
        <v>Salah</v>
      </c>
      <c r="R414" s="6"/>
    </row>
    <row r="415" spans="1:18" ht="15" hidden="1" thickBot="1" x14ac:dyDescent="0.25">
      <c r="A415" s="74"/>
      <c r="B415" s="74"/>
      <c r="C415" s="9" t="s">
        <v>49</v>
      </c>
      <c r="D415" s="15"/>
      <c r="E415" s="15"/>
      <c r="F415" s="15"/>
      <c r="G415" s="80"/>
      <c r="H415" s="79"/>
      <c r="I415" s="80"/>
      <c r="J415" s="80"/>
      <c r="K415" s="80"/>
      <c r="L415" s="76"/>
      <c r="M415" s="76"/>
      <c r="N415" s="76"/>
      <c r="O415" s="76"/>
      <c r="P415" s="5"/>
      <c r="Q415" s="6" t="str">
        <f t="shared" si="142"/>
        <v>OKE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42"/>
        <v>OKE</v>
      </c>
      <c r="R416" s="6"/>
    </row>
    <row r="417" spans="1:18" ht="15" hidden="1" thickBot="1" x14ac:dyDescent="0.25">
      <c r="A417" s="74">
        <v>10</v>
      </c>
      <c r="B417" s="75" t="s">
        <v>61</v>
      </c>
      <c r="C417" s="8" t="s">
        <v>99</v>
      </c>
      <c r="D417" s="15">
        <v>10000000</v>
      </c>
      <c r="E417" s="15"/>
      <c r="F417" s="15"/>
      <c r="G417" s="80">
        <v>8500000</v>
      </c>
      <c r="H417" s="79">
        <v>0</v>
      </c>
      <c r="I417" s="15">
        <f>+G417+H417</f>
        <v>8500000</v>
      </c>
      <c r="J417" s="16">
        <f>+I417/D417</f>
        <v>0.85</v>
      </c>
      <c r="K417" s="80">
        <v>6435000</v>
      </c>
      <c r="L417" s="80">
        <v>2420000</v>
      </c>
      <c r="M417" s="80">
        <f>+K417+L417</f>
        <v>8855000</v>
      </c>
      <c r="N417" s="16">
        <f>+M417/D417</f>
        <v>0.88549999999999995</v>
      </c>
      <c r="O417" s="80">
        <f>+D417-I417</f>
        <v>1500000</v>
      </c>
      <c r="P417" s="5"/>
      <c r="Q417" s="6" t="str">
        <f t="shared" si="142"/>
        <v>Salah</v>
      </c>
      <c r="R417" s="6"/>
    </row>
    <row r="418" spans="1:18" ht="15" hidden="1" thickBot="1" x14ac:dyDescent="0.25">
      <c r="A418" s="74"/>
      <c r="B418" s="74"/>
      <c r="C418" s="76"/>
      <c r="D418" s="15"/>
      <c r="E418" s="15"/>
      <c r="F418" s="15"/>
      <c r="G418" s="80"/>
      <c r="H418" s="79"/>
      <c r="I418" s="80"/>
      <c r="J418" s="80"/>
      <c r="K418" s="80"/>
      <c r="L418" s="76"/>
      <c r="M418" s="76"/>
      <c r="N418" s="76"/>
      <c r="O418" s="76"/>
      <c r="P418" s="5"/>
      <c r="Q418" s="6" t="str">
        <f t="shared" si="142"/>
        <v>OKE</v>
      </c>
      <c r="R418" s="6"/>
    </row>
    <row r="419" spans="1:18" ht="15" hidden="1" thickBot="1" x14ac:dyDescent="0.25">
      <c r="A419" s="74"/>
      <c r="B419" s="74"/>
      <c r="C419" s="9" t="s">
        <v>65</v>
      </c>
      <c r="D419" s="10">
        <f>+D417</f>
        <v>10000000</v>
      </c>
      <c r="E419" s="10"/>
      <c r="F419" s="10"/>
      <c r="G419" s="10">
        <f>+G417</f>
        <v>8500000</v>
      </c>
      <c r="H419" s="11">
        <f>+H417</f>
        <v>0</v>
      </c>
      <c r="I419" s="10">
        <f>+G419+H419</f>
        <v>8500000</v>
      </c>
      <c r="J419" s="12">
        <f>+I419/D419</f>
        <v>0.85</v>
      </c>
      <c r="K419" s="10">
        <f>+K417</f>
        <v>6435000</v>
      </c>
      <c r="L419" s="10">
        <f>+L417</f>
        <v>2420000</v>
      </c>
      <c r="M419" s="10">
        <f>+K419+L419</f>
        <v>8855000</v>
      </c>
      <c r="N419" s="12">
        <f>+M419/D419</f>
        <v>0.88549999999999995</v>
      </c>
      <c r="O419" s="10">
        <f>+D419-I419</f>
        <v>1500000</v>
      </c>
      <c r="P419" s="5"/>
      <c r="Q419" s="6" t="str">
        <f t="shared" si="142"/>
        <v>Salah</v>
      </c>
      <c r="R419" s="6"/>
    </row>
    <row r="420" spans="1:18" ht="15" hidden="1" thickBot="1" x14ac:dyDescent="0.25">
      <c r="A420" s="81"/>
      <c r="B420" s="81"/>
      <c r="C420" s="23" t="s">
        <v>66</v>
      </c>
      <c r="D420" s="32"/>
      <c r="E420" s="32"/>
      <c r="F420" s="32"/>
      <c r="G420" s="252"/>
      <c r="H420" s="253"/>
      <c r="I420" s="252"/>
      <c r="J420" s="252"/>
      <c r="K420" s="252"/>
      <c r="L420" s="251"/>
      <c r="M420" s="251"/>
      <c r="N420" s="251"/>
      <c r="O420" s="251"/>
      <c r="P420" s="5"/>
      <c r="Q420" s="6" t="str">
        <f t="shared" si="142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42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42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42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42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42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42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42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42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42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42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42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42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42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42"/>
        <v>OKE</v>
      </c>
      <c r="R434" s="6"/>
    </row>
    <row r="435" spans="1:18" ht="15" hidden="1" thickBot="1" x14ac:dyDescent="0.25">
      <c r="B435" s="88"/>
      <c r="C435" s="26"/>
      <c r="D435" s="31"/>
      <c r="E435" s="31"/>
      <c r="F435" s="31"/>
      <c r="G435" s="179"/>
      <c r="H435" s="258"/>
      <c r="I435" s="179"/>
      <c r="J435" s="179"/>
      <c r="K435" s="179"/>
      <c r="L435" s="77"/>
      <c r="M435" s="77"/>
      <c r="N435" s="77"/>
      <c r="O435" s="77"/>
      <c r="P435" s="5"/>
      <c r="Q435" s="6" t="str">
        <f t="shared" si="142"/>
        <v>OKE</v>
      </c>
      <c r="R435" s="6"/>
    </row>
    <row r="436" spans="1:18" ht="15" hidden="1" thickBot="1" x14ac:dyDescent="0.25">
      <c r="B436" s="88"/>
      <c r="C436" s="26"/>
      <c r="D436" s="31"/>
      <c r="E436" s="31"/>
      <c r="F436" s="31"/>
      <c r="G436" s="179"/>
      <c r="H436" s="258"/>
      <c r="I436" s="179"/>
      <c r="J436" s="179"/>
      <c r="K436" s="179"/>
      <c r="L436" s="77"/>
      <c r="M436" s="77"/>
      <c r="N436" s="77"/>
      <c r="O436" s="77"/>
      <c r="P436" s="5"/>
      <c r="Q436" s="6" t="str">
        <f t="shared" si="142"/>
        <v>OKE</v>
      </c>
      <c r="R436" s="6"/>
    </row>
    <row r="437" spans="1:18" ht="14.1" hidden="1" customHeight="1" x14ac:dyDescent="0.2">
      <c r="A437" s="361" t="s">
        <v>2</v>
      </c>
      <c r="B437" s="361" t="s">
        <v>3</v>
      </c>
      <c r="C437" s="361" t="s">
        <v>4</v>
      </c>
      <c r="D437" s="361" t="s">
        <v>5</v>
      </c>
      <c r="E437" s="197"/>
      <c r="F437" s="197"/>
      <c r="G437" s="358" t="s">
        <v>11</v>
      </c>
      <c r="H437" s="359"/>
      <c r="I437" s="359"/>
      <c r="J437" s="360"/>
      <c r="K437" s="358" t="s">
        <v>9</v>
      </c>
      <c r="L437" s="359"/>
      <c r="M437" s="359"/>
      <c r="N437" s="360"/>
      <c r="O437" s="361" t="s">
        <v>10</v>
      </c>
      <c r="P437" s="5"/>
      <c r="Q437" s="6" t="str">
        <f t="shared" si="142"/>
        <v>OKE</v>
      </c>
      <c r="R437" s="6"/>
    </row>
    <row r="438" spans="1:18" ht="14.1" hidden="1" customHeight="1" x14ac:dyDescent="0.2">
      <c r="A438" s="362"/>
      <c r="B438" s="362"/>
      <c r="C438" s="362"/>
      <c r="D438" s="362"/>
      <c r="E438" s="44"/>
      <c r="F438" s="44"/>
      <c r="G438" s="358" t="s">
        <v>74</v>
      </c>
      <c r="H438" s="359"/>
      <c r="I438" s="359"/>
      <c r="J438" s="360"/>
      <c r="K438" s="358" t="s">
        <v>12</v>
      </c>
      <c r="L438" s="359"/>
      <c r="M438" s="359"/>
      <c r="N438" s="360"/>
      <c r="O438" s="362"/>
      <c r="P438" s="5"/>
      <c r="Q438" s="6" t="str">
        <f t="shared" ref="Q438:Q462" si="143">IF(M438&lt;=I438,"OKE","Salah")</f>
        <v>OKE</v>
      </c>
      <c r="R438" s="6"/>
    </row>
    <row r="439" spans="1:18" ht="14.1" hidden="1" customHeight="1" x14ac:dyDescent="0.2">
      <c r="A439" s="378"/>
      <c r="B439" s="378"/>
      <c r="C439" s="378"/>
      <c r="D439" s="378"/>
      <c r="E439" s="196"/>
      <c r="F439" s="196"/>
      <c r="G439" s="144" t="s">
        <v>13</v>
      </c>
      <c r="H439" s="145" t="s">
        <v>14</v>
      </c>
      <c r="I439" s="144" t="s">
        <v>15</v>
      </c>
      <c r="J439" s="144" t="s">
        <v>16</v>
      </c>
      <c r="K439" s="144" t="s">
        <v>13</v>
      </c>
      <c r="L439" s="144" t="s">
        <v>14</v>
      </c>
      <c r="M439" s="144" t="s">
        <v>15</v>
      </c>
      <c r="N439" s="144" t="s">
        <v>16</v>
      </c>
      <c r="O439" s="378"/>
      <c r="P439" s="5"/>
      <c r="Q439" s="6" t="str">
        <f t="shared" si="143"/>
        <v>OKE</v>
      </c>
      <c r="R439" s="6"/>
    </row>
    <row r="440" spans="1:18" ht="15" hidden="1" thickBot="1" x14ac:dyDescent="0.25">
      <c r="A440" s="2">
        <v>1</v>
      </c>
      <c r="B440" s="2">
        <v>2</v>
      </c>
      <c r="C440" s="2">
        <v>3</v>
      </c>
      <c r="D440" s="2">
        <v>4</v>
      </c>
      <c r="E440" s="2"/>
      <c r="F440" s="2"/>
      <c r="G440" s="2">
        <v>5</v>
      </c>
      <c r="H440" s="145">
        <v>6</v>
      </c>
      <c r="I440" s="45" t="s">
        <v>77</v>
      </c>
      <c r="J440" s="45" t="s">
        <v>78</v>
      </c>
      <c r="K440" s="45">
        <v>9</v>
      </c>
      <c r="L440" s="45">
        <v>10</v>
      </c>
      <c r="M440" s="45" t="s">
        <v>79</v>
      </c>
      <c r="N440" s="45" t="s">
        <v>80</v>
      </c>
      <c r="O440" s="45" t="s">
        <v>81</v>
      </c>
      <c r="P440" s="5"/>
      <c r="Q440" s="6" t="str">
        <f t="shared" si="143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241"/>
      <c r="O441" s="241"/>
      <c r="P441" s="5"/>
      <c r="Q441" s="6" t="str">
        <f t="shared" si="143"/>
        <v>OKE</v>
      </c>
      <c r="R441" s="6"/>
    </row>
    <row r="442" spans="1:18" ht="15" hidden="1" thickBot="1" x14ac:dyDescent="0.25">
      <c r="A442" s="74"/>
      <c r="B442" s="76"/>
      <c r="C442" s="244" t="s">
        <v>97</v>
      </c>
      <c r="D442" s="8"/>
      <c r="E442" s="8"/>
      <c r="F442" s="8"/>
      <c r="G442" s="76"/>
      <c r="H442" s="82"/>
      <c r="I442" s="76"/>
      <c r="J442" s="76"/>
      <c r="K442" s="76"/>
      <c r="L442" s="76"/>
      <c r="M442" s="76"/>
      <c r="N442" s="76"/>
      <c r="O442" s="76"/>
      <c r="P442" s="5"/>
      <c r="Q442" s="6" t="str">
        <f t="shared" si="143"/>
        <v>OKE</v>
      </c>
      <c r="R442" s="6"/>
    </row>
    <row r="443" spans="1:18" ht="15" hidden="1" thickBot="1" x14ac:dyDescent="0.25">
      <c r="A443" s="74"/>
      <c r="B443" s="76"/>
      <c r="C443" s="76"/>
      <c r="D443" s="8"/>
      <c r="E443" s="8"/>
      <c r="F443" s="8"/>
      <c r="G443" s="76"/>
      <c r="H443" s="82"/>
      <c r="I443" s="76"/>
      <c r="J443" s="76"/>
      <c r="K443" s="76"/>
      <c r="L443" s="76"/>
      <c r="M443" s="76"/>
      <c r="N443" s="76"/>
      <c r="O443" s="76"/>
      <c r="P443" s="5"/>
      <c r="Q443" s="6" t="str">
        <f t="shared" si="143"/>
        <v>OKE</v>
      </c>
      <c r="R443" s="6"/>
    </row>
    <row r="444" spans="1:18" ht="15" hidden="1" thickBot="1" x14ac:dyDescent="0.25">
      <c r="A444" s="7" t="s">
        <v>36</v>
      </c>
      <c r="B444" s="7" t="s">
        <v>51</v>
      </c>
      <c r="C444" s="9" t="s">
        <v>100</v>
      </c>
      <c r="D444" s="10">
        <f>+D446+D448</f>
        <v>65000000</v>
      </c>
      <c r="E444" s="10"/>
      <c r="F444" s="10"/>
      <c r="G444" s="10">
        <f>+G446+G448</f>
        <v>63849900</v>
      </c>
      <c r="H444" s="11">
        <f>+H446+H448</f>
        <v>0</v>
      </c>
      <c r="I444" s="10">
        <f>+G444+H444</f>
        <v>63849900</v>
      </c>
      <c r="J444" s="12">
        <f>+I444/D444</f>
        <v>0.98230615384615383</v>
      </c>
      <c r="K444" s="10">
        <f>+K446+K448</f>
        <v>60979900</v>
      </c>
      <c r="L444" s="10">
        <f>+L446+L448</f>
        <v>2675000</v>
      </c>
      <c r="M444" s="10">
        <f>+K444+L444</f>
        <v>63654900</v>
      </c>
      <c r="N444" s="12">
        <f>+M444/D444</f>
        <v>0.97930615384615383</v>
      </c>
      <c r="O444" s="10">
        <f>+D444-I444</f>
        <v>1150100</v>
      </c>
      <c r="P444" s="5"/>
      <c r="Q444" s="6" t="str">
        <f t="shared" si="143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43"/>
        <v>OKE</v>
      </c>
      <c r="R445" s="6"/>
    </row>
    <row r="446" spans="1:18" ht="15" hidden="1" thickBot="1" x14ac:dyDescent="0.25">
      <c r="A446" s="7"/>
      <c r="B446" s="75" t="s">
        <v>37</v>
      </c>
      <c r="C446" s="8" t="s">
        <v>101</v>
      </c>
      <c r="D446" s="15">
        <v>5000000</v>
      </c>
      <c r="E446" s="15"/>
      <c r="F446" s="15"/>
      <c r="G446" s="80">
        <v>5000000</v>
      </c>
      <c r="H446" s="79">
        <v>0</v>
      </c>
      <c r="I446" s="15">
        <f>+G446+H446</f>
        <v>5000000</v>
      </c>
      <c r="J446" s="16">
        <f>+I446/D446</f>
        <v>1</v>
      </c>
      <c r="K446" s="80">
        <v>2250000</v>
      </c>
      <c r="L446" s="80">
        <v>2675000</v>
      </c>
      <c r="M446" s="80">
        <f>+K446+L446</f>
        <v>4925000</v>
      </c>
      <c r="N446" s="16">
        <f>+M446/D446</f>
        <v>0.98499999999999999</v>
      </c>
      <c r="O446" s="80">
        <f>+D446-I446</f>
        <v>0</v>
      </c>
      <c r="P446" s="5"/>
      <c r="Q446" s="6" t="str">
        <f t="shared" si="143"/>
        <v>OKE</v>
      </c>
      <c r="R446" s="6"/>
    </row>
    <row r="447" spans="1:18" ht="15" hidden="1" thickBot="1" x14ac:dyDescent="0.25">
      <c r="A447" s="7"/>
      <c r="B447" s="7"/>
      <c r="C447" s="9"/>
      <c r="D447" s="15"/>
      <c r="E447" s="15"/>
      <c r="F447" s="15"/>
      <c r="G447" s="80"/>
      <c r="H447" s="79"/>
      <c r="I447" s="80"/>
      <c r="J447" s="80"/>
      <c r="K447" s="80"/>
      <c r="L447" s="93"/>
      <c r="M447" s="76"/>
      <c r="N447" s="76"/>
      <c r="O447" s="76"/>
      <c r="P447" s="5"/>
      <c r="Q447" s="6" t="str">
        <f t="shared" si="143"/>
        <v>OKE</v>
      </c>
      <c r="R447" s="6"/>
    </row>
    <row r="448" spans="1:18" ht="15" hidden="1" thickBot="1" x14ac:dyDescent="0.25">
      <c r="A448" s="74">
        <v>11</v>
      </c>
      <c r="B448" s="75" t="s">
        <v>42</v>
      </c>
      <c r="C448" s="76" t="s">
        <v>102</v>
      </c>
      <c r="D448" s="15">
        <v>60000000</v>
      </c>
      <c r="E448" s="15"/>
      <c r="F448" s="15"/>
      <c r="G448" s="80">
        <v>58849900</v>
      </c>
      <c r="H448" s="79">
        <v>0</v>
      </c>
      <c r="I448" s="15">
        <f>+G448+H448</f>
        <v>58849900</v>
      </c>
      <c r="J448" s="16">
        <f>+I448/D448</f>
        <v>0.98083166666666666</v>
      </c>
      <c r="K448" s="80">
        <v>58729900</v>
      </c>
      <c r="L448" s="80">
        <v>0</v>
      </c>
      <c r="M448" s="80">
        <f>+K448+L448</f>
        <v>58729900</v>
      </c>
      <c r="N448" s="16">
        <f>+M448/D448</f>
        <v>0.97883166666666666</v>
      </c>
      <c r="O448" s="80">
        <f>+D448-I448</f>
        <v>1150100</v>
      </c>
      <c r="P448" s="5"/>
      <c r="Q448" s="6" t="str">
        <f t="shared" si="143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43"/>
        <v>OKE</v>
      </c>
      <c r="R449" s="6"/>
    </row>
    <row r="450" spans="1:40" ht="15" hidden="1" thickBot="1" x14ac:dyDescent="0.25">
      <c r="A450" s="85"/>
      <c r="B450" s="85"/>
      <c r="C450" s="34" t="s">
        <v>103</v>
      </c>
      <c r="D450" s="41">
        <f>+D448+D446</f>
        <v>65000000</v>
      </c>
      <c r="E450" s="41"/>
      <c r="F450" s="41"/>
      <c r="G450" s="41">
        <f>+G448+G446</f>
        <v>63849900</v>
      </c>
      <c r="H450" s="42">
        <f>+H448+H446</f>
        <v>0</v>
      </c>
      <c r="I450" s="41">
        <f>+G450+H450</f>
        <v>63849900</v>
      </c>
      <c r="J450" s="43">
        <f>+I450/D450</f>
        <v>0.98230615384615383</v>
      </c>
      <c r="K450" s="41">
        <f>+K448+K446</f>
        <v>60979900</v>
      </c>
      <c r="L450" s="41">
        <f>+L448+L446</f>
        <v>2675000</v>
      </c>
      <c r="M450" s="259">
        <f>+K450+L450</f>
        <v>63654900</v>
      </c>
      <c r="N450" s="43">
        <f>+M450/D450</f>
        <v>0.97930615384615383</v>
      </c>
      <c r="O450" s="41">
        <f>+D450-I450</f>
        <v>1150100</v>
      </c>
      <c r="P450" s="5"/>
      <c r="Q450" s="6" t="str">
        <f t="shared" si="143"/>
        <v>OKE</v>
      </c>
      <c r="R450" s="6"/>
    </row>
    <row r="451" spans="1:40" ht="15" hidden="1" thickBot="1" x14ac:dyDescent="0.25">
      <c r="A451" s="74"/>
      <c r="B451" s="74"/>
      <c r="C451" s="76"/>
      <c r="D451" s="15"/>
      <c r="E451" s="15"/>
      <c r="F451" s="15"/>
      <c r="G451" s="80"/>
      <c r="H451" s="79"/>
      <c r="I451" s="80"/>
      <c r="J451" s="80"/>
      <c r="K451" s="80"/>
      <c r="L451" s="76"/>
      <c r="M451" s="76"/>
      <c r="N451" s="76"/>
      <c r="O451" s="76"/>
      <c r="P451" s="5"/>
      <c r="Q451" s="6" t="str">
        <f t="shared" si="143"/>
        <v>OKE</v>
      </c>
      <c r="R451" s="6"/>
    </row>
    <row r="452" spans="1:40" ht="15" hidden="1" thickBot="1" x14ac:dyDescent="0.25">
      <c r="A452" s="7" t="s">
        <v>38</v>
      </c>
      <c r="B452" s="7" t="s">
        <v>104</v>
      </c>
      <c r="C452" s="9" t="s">
        <v>105</v>
      </c>
      <c r="D452" s="10">
        <f>+D454+D456</f>
        <v>65000000</v>
      </c>
      <c r="E452" s="10"/>
      <c r="F452" s="10"/>
      <c r="G452" s="10">
        <f>+G454+G456</f>
        <v>63625000</v>
      </c>
      <c r="H452" s="11">
        <f>+H454+H456</f>
        <v>0</v>
      </c>
      <c r="I452" s="10">
        <f>+G452+H452</f>
        <v>63625000</v>
      </c>
      <c r="J452" s="12">
        <f>+I452/D452</f>
        <v>0.97884615384615381</v>
      </c>
      <c r="K452" s="10">
        <f>+K454+K456</f>
        <v>58383200</v>
      </c>
      <c r="L452" s="10">
        <f>+L454+L456</f>
        <v>5241800</v>
      </c>
      <c r="M452" s="10">
        <f>+K452+L452</f>
        <v>63625000</v>
      </c>
      <c r="N452" s="12">
        <f>+M452/D452</f>
        <v>0.97884615384615381</v>
      </c>
      <c r="O452" s="10">
        <f>+D452-I452</f>
        <v>1375000</v>
      </c>
      <c r="P452" s="5"/>
      <c r="Q452" s="6" t="str">
        <f t="shared" si="143"/>
        <v>OKE</v>
      </c>
      <c r="R452" s="6"/>
    </row>
    <row r="453" spans="1:40" ht="15" hidden="1" thickBot="1" x14ac:dyDescent="0.25">
      <c r="A453" s="7"/>
      <c r="B453" s="7"/>
      <c r="C453" s="9"/>
      <c r="D453" s="15"/>
      <c r="E453" s="15"/>
      <c r="F453" s="15"/>
      <c r="G453" s="80"/>
      <c r="H453" s="79"/>
      <c r="I453" s="80"/>
      <c r="J453" s="80"/>
      <c r="K453" s="80"/>
      <c r="L453" s="93"/>
      <c r="M453" s="76"/>
      <c r="N453" s="76"/>
      <c r="O453" s="76"/>
      <c r="P453" s="5"/>
      <c r="Q453" s="6" t="str">
        <f t="shared" si="143"/>
        <v>OKE</v>
      </c>
      <c r="R453" s="6"/>
    </row>
    <row r="454" spans="1:40" ht="15" hidden="1" thickBot="1" x14ac:dyDescent="0.25">
      <c r="A454" s="74">
        <v>12</v>
      </c>
      <c r="B454" s="75" t="s">
        <v>71</v>
      </c>
      <c r="C454" s="76" t="s">
        <v>106</v>
      </c>
      <c r="D454" s="15">
        <v>32000000</v>
      </c>
      <c r="E454" s="15"/>
      <c r="F454" s="15"/>
      <c r="G454" s="80">
        <v>32000000</v>
      </c>
      <c r="H454" s="79">
        <v>0</v>
      </c>
      <c r="I454" s="15">
        <f>+G454+H454</f>
        <v>32000000</v>
      </c>
      <c r="J454" s="16">
        <f>+I454/D454</f>
        <v>1</v>
      </c>
      <c r="K454" s="80">
        <v>26758200</v>
      </c>
      <c r="L454" s="80">
        <v>5241800</v>
      </c>
      <c r="M454" s="80">
        <f>+K454+L454</f>
        <v>32000000</v>
      </c>
      <c r="N454" s="16">
        <f>+M454/D454</f>
        <v>1</v>
      </c>
      <c r="O454" s="80">
        <f>+D454-I454</f>
        <v>0</v>
      </c>
      <c r="P454" s="5"/>
      <c r="Q454" s="6" t="str">
        <f t="shared" si="143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270"/>
      <c r="L455" s="93"/>
      <c r="M455" s="76"/>
      <c r="N455" s="76"/>
      <c r="O455" s="76"/>
      <c r="P455" s="5"/>
      <c r="Q455" s="6" t="str">
        <f t="shared" si="143"/>
        <v>OKE</v>
      </c>
      <c r="R455" s="6"/>
    </row>
    <row r="456" spans="1:40" ht="15" hidden="1" thickBot="1" x14ac:dyDescent="0.25">
      <c r="A456" s="74">
        <v>13</v>
      </c>
      <c r="B456" s="75" t="s">
        <v>107</v>
      </c>
      <c r="C456" s="76" t="s">
        <v>108</v>
      </c>
      <c r="D456" s="15">
        <v>33000000</v>
      </c>
      <c r="E456" s="15"/>
      <c r="F456" s="15"/>
      <c r="G456" s="80">
        <v>31625000</v>
      </c>
      <c r="H456" s="79">
        <v>0</v>
      </c>
      <c r="I456" s="15">
        <f>+G456+H456</f>
        <v>31625000</v>
      </c>
      <c r="J456" s="16">
        <f>+I456/D456</f>
        <v>0.95833333333333337</v>
      </c>
      <c r="K456" s="80">
        <v>31625000</v>
      </c>
      <c r="L456" s="80">
        <v>0</v>
      </c>
      <c r="M456" s="80">
        <f>+K456+L456</f>
        <v>31625000</v>
      </c>
      <c r="N456" s="16">
        <f>+M456/D456</f>
        <v>0.95833333333333337</v>
      </c>
      <c r="O456" s="80">
        <f>+D456-I456</f>
        <v>1375000</v>
      </c>
      <c r="P456" s="5"/>
      <c r="Q456" s="6" t="str">
        <f t="shared" si="143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76"/>
      <c r="M457" s="76"/>
      <c r="N457" s="76"/>
      <c r="O457" s="76"/>
      <c r="P457" s="5"/>
      <c r="Q457" s="6" t="str">
        <f t="shared" si="143"/>
        <v>OKE</v>
      </c>
      <c r="R457" s="6"/>
    </row>
    <row r="458" spans="1:40" ht="15" hidden="1" thickBot="1" x14ac:dyDescent="0.25">
      <c r="A458" s="85"/>
      <c r="B458" s="85"/>
      <c r="C458" s="34" t="s">
        <v>109</v>
      </c>
      <c r="D458" s="41">
        <f>+D456+D454</f>
        <v>65000000</v>
      </c>
      <c r="E458" s="41"/>
      <c r="F458" s="41"/>
      <c r="G458" s="41">
        <f>+G456+G454</f>
        <v>63625000</v>
      </c>
      <c r="H458" s="42">
        <f>+H456+H454</f>
        <v>0</v>
      </c>
      <c r="I458" s="41">
        <f>+G458+H458</f>
        <v>63625000</v>
      </c>
      <c r="J458" s="43">
        <f>+I458/D458</f>
        <v>0.97884615384615381</v>
      </c>
      <c r="K458" s="41">
        <f>+K456+K454</f>
        <v>58383200</v>
      </c>
      <c r="L458" s="41">
        <f>+L456+L454</f>
        <v>5241800</v>
      </c>
      <c r="M458" s="41">
        <f>+K458+L458</f>
        <v>63625000</v>
      </c>
      <c r="N458" s="43">
        <f>+M458/D458</f>
        <v>0.97884615384615381</v>
      </c>
      <c r="O458" s="41">
        <f>+D458-I458</f>
        <v>1375000</v>
      </c>
      <c r="P458" s="5"/>
      <c r="Q458" s="6" t="str">
        <f t="shared" si="143"/>
        <v>OKE</v>
      </c>
      <c r="R458" s="6"/>
    </row>
    <row r="459" spans="1:40" ht="15" hidden="1" thickBot="1" x14ac:dyDescent="0.25">
      <c r="A459" s="74"/>
      <c r="B459" s="74"/>
      <c r="C459" s="76"/>
      <c r="D459" s="15"/>
      <c r="E459" s="15"/>
      <c r="F459" s="15"/>
      <c r="G459" s="80"/>
      <c r="H459" s="79"/>
      <c r="I459" s="80"/>
      <c r="J459" s="80"/>
      <c r="K459" s="80"/>
      <c r="L459" s="93"/>
      <c r="M459" s="76"/>
      <c r="N459" s="76"/>
      <c r="O459" s="76"/>
      <c r="P459" s="5"/>
      <c r="Q459" s="6" t="str">
        <f t="shared" si="143"/>
        <v>OKE</v>
      </c>
      <c r="R459" s="6"/>
    </row>
    <row r="460" spans="1:40" ht="15" hidden="1" thickBot="1" x14ac:dyDescent="0.25">
      <c r="A460" s="92"/>
      <c r="B460" s="92"/>
      <c r="C460" s="54"/>
      <c r="D460" s="55"/>
      <c r="E460" s="55"/>
      <c r="F460" s="55"/>
      <c r="G460" s="55"/>
      <c r="H460" s="56"/>
      <c r="I460" s="55"/>
      <c r="J460" s="57"/>
      <c r="K460" s="55"/>
      <c r="L460" s="55"/>
      <c r="M460" s="58"/>
      <c r="N460" s="59"/>
      <c r="O460" s="58"/>
      <c r="P460" s="5"/>
      <c r="Q460" s="6" t="str">
        <f t="shared" si="143"/>
        <v>OKE</v>
      </c>
      <c r="R460" s="6"/>
    </row>
    <row r="461" spans="1:40" s="72" customFormat="1" ht="10.5" customHeight="1" x14ac:dyDescent="0.2">
      <c r="A461" s="435"/>
      <c r="B461" s="436"/>
      <c r="C461" s="439" t="s">
        <v>110</v>
      </c>
      <c r="D461" s="429">
        <f t="shared" ref="D461:I461" si="144">+D30+D47+D62+D77+D98+D113+D126+D175+D192+D255</f>
        <v>70935668093</v>
      </c>
      <c r="E461" s="429">
        <f t="shared" si="144"/>
        <v>-36639150</v>
      </c>
      <c r="F461" s="441">
        <f t="shared" si="144"/>
        <v>70899028943</v>
      </c>
      <c r="G461" s="453">
        <f t="shared" si="144"/>
        <v>24361198635</v>
      </c>
      <c r="H461" s="453">
        <f t="shared" si="144"/>
        <v>12517844529</v>
      </c>
      <c r="I461" s="453">
        <f t="shared" si="144"/>
        <v>36879043164</v>
      </c>
      <c r="J461" s="431">
        <f>+I461/F461</f>
        <v>0.52016288112562559</v>
      </c>
      <c r="K461" s="453">
        <f>+K30+K47+K62+K77+K98+K113+K126+K175+K192+K255</f>
        <v>24323748678</v>
      </c>
      <c r="L461" s="453">
        <f>+L30+L47+L62+L77+L98+L113+L126+L175+L192+L255</f>
        <v>12536911866</v>
      </c>
      <c r="M461" s="453">
        <f>+K461+L461</f>
        <v>36860660544</v>
      </c>
      <c r="N461" s="433">
        <f>+M461/F461</f>
        <v>0.51990360225715515</v>
      </c>
      <c r="O461" s="429">
        <f>+F461-M461</f>
        <v>34038368399</v>
      </c>
      <c r="P461" s="5"/>
      <c r="Q461" s="6" t="str">
        <f t="shared" si="143"/>
        <v>OKE</v>
      </c>
      <c r="R461" s="6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</row>
    <row r="462" spans="1:40" s="73" customFormat="1" ht="18" customHeight="1" thickBot="1" x14ac:dyDescent="0.25">
      <c r="A462" s="437"/>
      <c r="B462" s="438"/>
      <c r="C462" s="430"/>
      <c r="D462" s="440"/>
      <c r="E462" s="440"/>
      <c r="F462" s="442"/>
      <c r="G462" s="454"/>
      <c r="H462" s="454"/>
      <c r="I462" s="462"/>
      <c r="J462" s="432"/>
      <c r="K462" s="454"/>
      <c r="L462" s="454"/>
      <c r="M462" s="462"/>
      <c r="N462" s="434"/>
      <c r="O462" s="430"/>
      <c r="P462" s="77"/>
      <c r="Q462" s="6" t="str">
        <f t="shared" si="143"/>
        <v>OKE</v>
      </c>
      <c r="R462" s="6"/>
      <c r="S462" s="306">
        <f>+S475+715401008</f>
        <v>12535514679</v>
      </c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</row>
    <row r="463" spans="1:40" ht="5.25" customHeight="1" x14ac:dyDescent="0.2">
      <c r="A463" s="90"/>
      <c r="B463" s="90"/>
      <c r="C463" s="37"/>
      <c r="D463" s="37"/>
      <c r="E463" s="37"/>
      <c r="F463" s="37"/>
      <c r="G463" s="37"/>
      <c r="H463" s="38"/>
      <c r="I463" s="40"/>
      <c r="J463" s="39"/>
      <c r="K463" s="37"/>
      <c r="L463" s="37"/>
      <c r="M463" s="60"/>
      <c r="N463" s="61"/>
      <c r="O463" s="62"/>
      <c r="P463" s="77"/>
    </row>
    <row r="464" spans="1:40" x14ac:dyDescent="0.2">
      <c r="A464" s="77"/>
      <c r="B464" s="77"/>
      <c r="C464" s="77"/>
      <c r="D464" s="31"/>
      <c r="G464" s="88"/>
      <c r="H464" s="63"/>
      <c r="I464" s="26"/>
      <c r="J464" s="26"/>
      <c r="K464" s="88"/>
      <c r="L464" s="77"/>
      <c r="M464" s="77"/>
      <c r="N464" s="77"/>
      <c r="O464" s="77"/>
      <c r="P464" s="64"/>
      <c r="Q464" s="64"/>
      <c r="R464" s="31" t="s">
        <v>148</v>
      </c>
      <c r="S464" s="189">
        <f>21862058+679029660+20629678+21862058+678717020+20326038+21464543</f>
        <v>1463891055</v>
      </c>
      <c r="U464" s="309"/>
    </row>
    <row r="465" spans="1:21" hidden="1" x14ac:dyDescent="0.2">
      <c r="A465" s="77"/>
      <c r="B465" s="77"/>
      <c r="C465" s="77"/>
      <c r="G465" s="88"/>
      <c r="H465" s="63"/>
      <c r="I465" s="26"/>
      <c r="J465" s="26"/>
      <c r="K465" s="88"/>
      <c r="L465" s="77"/>
      <c r="M465" s="77"/>
      <c r="N465" s="77"/>
      <c r="O465" s="77"/>
      <c r="P465" s="77"/>
      <c r="Q465" s="77"/>
      <c r="R465" s="77"/>
      <c r="S465" s="189"/>
    </row>
    <row r="466" spans="1:21" hidden="1" x14ac:dyDescent="0.2">
      <c r="A466" s="77"/>
      <c r="B466" s="77"/>
      <c r="C466" s="77"/>
      <c r="G466" s="26"/>
      <c r="H466" s="271"/>
      <c r="I466" s="88"/>
      <c r="J466" s="88"/>
      <c r="K466" s="88"/>
      <c r="L466" s="77"/>
      <c r="M466" s="77"/>
      <c r="N466" s="77"/>
      <c r="O466" s="77"/>
      <c r="P466" s="77"/>
      <c r="Q466" s="77"/>
      <c r="R466" s="77"/>
      <c r="S466" s="189"/>
    </row>
    <row r="467" spans="1:21" x14ac:dyDescent="0.2">
      <c r="A467" s="77"/>
      <c r="B467" s="77"/>
      <c r="C467" s="77"/>
      <c r="D467" s="31"/>
      <c r="G467" s="26"/>
      <c r="H467" s="271"/>
      <c r="I467" s="88"/>
      <c r="J467" s="88"/>
      <c r="K467" s="88"/>
      <c r="L467" s="425" t="s">
        <v>365</v>
      </c>
      <c r="M467" s="426"/>
      <c r="N467" s="426"/>
      <c r="O467" s="426"/>
      <c r="P467" s="77" t="s">
        <v>302</v>
      </c>
      <c r="Q467" s="179">
        <f>56553184+4598328+749681</f>
        <v>61901193</v>
      </c>
      <c r="R467" s="77" t="s">
        <v>269</v>
      </c>
      <c r="S467" s="189">
        <v>72037500</v>
      </c>
      <c r="U467" s="69"/>
    </row>
    <row r="468" spans="1:21" x14ac:dyDescent="0.2">
      <c r="A468" s="77"/>
      <c r="B468" s="77"/>
      <c r="C468" s="77"/>
      <c r="D468" s="31"/>
      <c r="G468" s="88"/>
      <c r="H468" s="271"/>
      <c r="I468" s="88"/>
      <c r="J468" s="88"/>
      <c r="K468" s="88"/>
      <c r="L468" s="425" t="s">
        <v>340</v>
      </c>
      <c r="M468" s="426"/>
      <c r="N468" s="426"/>
      <c r="O468" s="426"/>
      <c r="P468" s="77" t="s">
        <v>268</v>
      </c>
      <c r="Q468" s="179">
        <f>1765817+10718800+73652780</f>
        <v>86137397</v>
      </c>
      <c r="R468" s="77" t="s">
        <v>149</v>
      </c>
      <c r="S468" s="190">
        <f>7800000+838738007+7500000+813162310</f>
        <v>1667200317</v>
      </c>
    </row>
    <row r="469" spans="1:21" hidden="1" x14ac:dyDescent="0.2">
      <c r="A469" s="77"/>
      <c r="B469" s="77"/>
      <c r="C469" s="77"/>
      <c r="G469" s="88"/>
      <c r="H469" s="271"/>
      <c r="I469" s="88"/>
      <c r="J469" s="88"/>
      <c r="K469" s="88"/>
      <c r="L469" s="26"/>
      <c r="M469" s="88"/>
      <c r="N469" s="88"/>
      <c r="O469" s="77"/>
      <c r="P469" s="77"/>
      <c r="Q469" s="179"/>
      <c r="R469" s="77"/>
      <c r="S469" s="77"/>
    </row>
    <row r="470" spans="1:21" hidden="1" x14ac:dyDescent="0.2">
      <c r="A470" s="77"/>
      <c r="B470" s="77"/>
      <c r="C470" s="77"/>
      <c r="G470" s="88"/>
      <c r="H470" s="271"/>
      <c r="I470" s="88"/>
      <c r="J470" s="88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21" hidden="1" x14ac:dyDescent="0.2">
      <c r="A471" s="77"/>
      <c r="B471" s="77"/>
      <c r="C471" s="77"/>
      <c r="G471" s="88"/>
      <c r="H471" s="271"/>
      <c r="I471" s="88"/>
      <c r="J471" s="88"/>
      <c r="K471" s="88"/>
      <c r="L471" s="88"/>
      <c r="M471" s="88"/>
      <c r="N471" s="88"/>
      <c r="O471" s="77"/>
      <c r="P471" s="77"/>
      <c r="Q471" s="179"/>
      <c r="R471" s="77"/>
      <c r="S471" s="77"/>
    </row>
    <row r="472" spans="1:21" hidden="1" x14ac:dyDescent="0.2">
      <c r="A472" s="77"/>
      <c r="B472" s="77"/>
      <c r="C472" s="77"/>
      <c r="G472" s="88"/>
      <c r="H472" s="65"/>
      <c r="I472" s="200"/>
      <c r="J472" s="200"/>
      <c r="K472" s="88"/>
      <c r="L472" s="88"/>
      <c r="M472" s="88"/>
      <c r="N472" s="88"/>
      <c r="O472" s="77"/>
      <c r="P472" s="77"/>
      <c r="Q472" s="179"/>
      <c r="R472" s="77"/>
      <c r="S472" s="77"/>
    </row>
    <row r="473" spans="1:21" ht="12.75" customHeight="1" x14ac:dyDescent="0.2">
      <c r="A473" s="77"/>
      <c r="B473" s="77"/>
      <c r="C473" s="77"/>
      <c r="D473" s="31"/>
      <c r="G473" s="88"/>
      <c r="H473" s="65"/>
      <c r="I473" s="200"/>
      <c r="J473" s="200"/>
      <c r="K473" s="88"/>
      <c r="L473" s="425" t="s">
        <v>146</v>
      </c>
      <c r="M473" s="426"/>
      <c r="N473" s="426"/>
      <c r="O473" s="426"/>
      <c r="P473" s="77" t="s">
        <v>270</v>
      </c>
      <c r="Q473" s="179">
        <v>0</v>
      </c>
      <c r="R473" s="77" t="s">
        <v>271</v>
      </c>
      <c r="S473" s="179">
        <f>+Q477</f>
        <v>8616984799</v>
      </c>
    </row>
    <row r="474" spans="1:21" ht="12.7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425"/>
      <c r="M474" s="426"/>
      <c r="N474" s="426"/>
      <c r="O474" s="426"/>
      <c r="P474" s="77" t="s">
        <v>147</v>
      </c>
      <c r="Q474" s="179">
        <v>32182830</v>
      </c>
      <c r="R474" s="77"/>
      <c r="S474" s="278"/>
    </row>
    <row r="475" spans="1:21" ht="14.25" customHeight="1" x14ac:dyDescent="0.2">
      <c r="A475" s="77"/>
      <c r="B475" s="77"/>
      <c r="C475" s="77"/>
      <c r="G475" s="88"/>
      <c r="H475" s="65"/>
      <c r="I475" s="200"/>
      <c r="J475" s="200"/>
      <c r="K475" s="88"/>
      <c r="L475" s="88"/>
      <c r="M475" s="88"/>
      <c r="N475" s="88"/>
      <c r="O475" s="77"/>
      <c r="P475" s="77" t="s">
        <v>151</v>
      </c>
      <c r="Q475" s="179">
        <v>45950000</v>
      </c>
      <c r="R475" s="277" t="s">
        <v>152</v>
      </c>
      <c r="S475" s="279">
        <f>SUM(S464:S473)</f>
        <v>11820113671</v>
      </c>
    </row>
    <row r="476" spans="1:21" ht="14.25" customHeight="1" x14ac:dyDescent="0.2">
      <c r="A476" s="77"/>
      <c r="B476" s="77"/>
      <c r="C476" s="77"/>
      <c r="G476" s="88"/>
      <c r="H476" s="65"/>
      <c r="I476" s="200"/>
      <c r="J476" s="200"/>
      <c r="K476" s="88"/>
      <c r="L476" s="88"/>
      <c r="M476" s="88"/>
      <c r="N476" s="88"/>
      <c r="O476" s="77"/>
      <c r="P476" s="77" t="s">
        <v>274</v>
      </c>
      <c r="Q476" s="179">
        <f>35700000+944550000+15500000+28142500+29400000+29625000+33884500+14375000+30000000+28300000+16510000+48524579+2000000+6800000+9100000+98000000+24397500+5000000000+188913700+19980000+14433600+30700000+24790000+10956000+124701000+1565000000+4830000+11700000</f>
        <v>8390813379</v>
      </c>
      <c r="R476" s="77"/>
      <c r="S476" s="179"/>
    </row>
    <row r="477" spans="1:21" x14ac:dyDescent="0.2">
      <c r="A477" s="77"/>
      <c r="B477" s="77"/>
      <c r="C477" s="77"/>
      <c r="G477" s="66"/>
      <c r="H477" s="65"/>
      <c r="I477" s="200"/>
      <c r="J477" s="200"/>
      <c r="K477" s="88"/>
      <c r="L477" s="427" t="s">
        <v>343</v>
      </c>
      <c r="M477" s="427"/>
      <c r="N477" s="427"/>
      <c r="O477" s="427"/>
      <c r="P477" s="277" t="s">
        <v>273</v>
      </c>
      <c r="Q477" s="280">
        <f>SUM(Q467:Q476)</f>
        <v>8616984799</v>
      </c>
      <c r="R477" s="192" t="s">
        <v>150</v>
      </c>
      <c r="S477" s="191">
        <f>+L461-S475</f>
        <v>716798195</v>
      </c>
    </row>
    <row r="478" spans="1:21" ht="15" customHeight="1" x14ac:dyDescent="0.2">
      <c r="A478" s="77"/>
      <c r="B478" s="77"/>
      <c r="C478" s="77"/>
      <c r="G478" s="67"/>
      <c r="H478" s="271"/>
      <c r="I478" s="88"/>
      <c r="J478" s="88"/>
      <c r="K478" s="88"/>
      <c r="L478" s="428" t="s">
        <v>342</v>
      </c>
      <c r="M478" s="428"/>
      <c r="N478" s="428"/>
      <c r="O478" s="428"/>
      <c r="P478" s="77"/>
      <c r="Q478" s="77"/>
      <c r="R478" s="192" t="s">
        <v>272</v>
      </c>
      <c r="S478" s="191">
        <f>+S475+S477+1343435000</f>
        <v>13880346866</v>
      </c>
    </row>
    <row r="481" spans="19:19" x14ac:dyDescent="0.2">
      <c r="S481" s="319"/>
    </row>
    <row r="482" spans="19:19" x14ac:dyDescent="0.2">
      <c r="S482" s="309"/>
    </row>
    <row r="486" spans="19:19" hidden="1" x14ac:dyDescent="0.2"/>
    <row r="487" spans="19:19" hidden="1" x14ac:dyDescent="0.2"/>
    <row r="488" spans="19:19" hidden="1" x14ac:dyDescent="0.2"/>
    <row r="489" spans="19:19" hidden="1" x14ac:dyDescent="0.2"/>
    <row r="490" spans="19:19" hidden="1" x14ac:dyDescent="0.2"/>
    <row r="491" spans="19:19" hidden="1" x14ac:dyDescent="0.2"/>
    <row r="492" spans="19:19" hidden="1" x14ac:dyDescent="0.2"/>
    <row r="493" spans="19:19" hidden="1" x14ac:dyDescent="0.2"/>
    <row r="494" spans="19:19" hidden="1" x14ac:dyDescent="0.2"/>
    <row r="495" spans="19:19" hidden="1" x14ac:dyDescent="0.2"/>
    <row r="496" spans="19:19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</sheetData>
  <mergeCells count="242"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A47:A48"/>
    <mergeCell ref="B47:B48"/>
    <mergeCell ref="C47:C48"/>
    <mergeCell ref="C77:C78"/>
    <mergeCell ref="D77:D78"/>
    <mergeCell ref="E77:E78"/>
    <mergeCell ref="F77:F78"/>
    <mergeCell ref="G77:G78"/>
    <mergeCell ref="H77:H78"/>
    <mergeCell ref="H62:H63"/>
    <mergeCell ref="N47:N48"/>
    <mergeCell ref="D47:D48"/>
    <mergeCell ref="E47:E48"/>
    <mergeCell ref="F47:F48"/>
    <mergeCell ref="J98:J99"/>
    <mergeCell ref="K98:K99"/>
    <mergeCell ref="L98:L99"/>
    <mergeCell ref="M98:M99"/>
    <mergeCell ref="N98:N99"/>
    <mergeCell ref="K62:K63"/>
    <mergeCell ref="L62:L63"/>
    <mergeCell ref="M62:M63"/>
    <mergeCell ref="M47:M48"/>
    <mergeCell ref="O98:O99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M113:M114"/>
    <mergeCell ref="N113:N114"/>
    <mergeCell ref="O113:O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I113:I114"/>
    <mergeCell ref="J113:J114"/>
    <mergeCell ref="K113:K114"/>
    <mergeCell ref="L113:L114"/>
    <mergeCell ref="A113:A114"/>
    <mergeCell ref="B113:B114"/>
    <mergeCell ref="C113:C114"/>
    <mergeCell ref="D113:D114"/>
    <mergeCell ref="E113:E114"/>
    <mergeCell ref="F113:F114"/>
    <mergeCell ref="N126:N127"/>
    <mergeCell ref="O126:O127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H126:H127"/>
    <mergeCell ref="I126:I127"/>
    <mergeCell ref="J126:J127"/>
    <mergeCell ref="K126:K127"/>
    <mergeCell ref="L126:L127"/>
    <mergeCell ref="M126:M127"/>
    <mergeCell ref="M192:M193"/>
    <mergeCell ref="N192:N193"/>
    <mergeCell ref="O192:O193"/>
    <mergeCell ref="O175:O176"/>
    <mergeCell ref="I175:I176"/>
    <mergeCell ref="J175:J176"/>
    <mergeCell ref="K175:K176"/>
    <mergeCell ref="L175:L176"/>
    <mergeCell ref="M175:M176"/>
    <mergeCell ref="N175:N176"/>
    <mergeCell ref="C248:C249"/>
    <mergeCell ref="A255:A256"/>
    <mergeCell ref="B255:B256"/>
    <mergeCell ref="C255:C256"/>
    <mergeCell ref="D255:D256"/>
    <mergeCell ref="E255:E256"/>
    <mergeCell ref="J192:J193"/>
    <mergeCell ref="K192:K193"/>
    <mergeCell ref="L192:L193"/>
    <mergeCell ref="L255:L256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M255:M256"/>
    <mergeCell ref="N255:N256"/>
    <mergeCell ref="O255:O256"/>
    <mergeCell ref="A269:O269"/>
    <mergeCell ref="A270:O270"/>
    <mergeCell ref="F255:F256"/>
    <mergeCell ref="G255:G256"/>
    <mergeCell ref="H255:H256"/>
    <mergeCell ref="I255:I256"/>
    <mergeCell ref="J255:J256"/>
    <mergeCell ref="K255:K256"/>
    <mergeCell ref="A271:O271"/>
    <mergeCell ref="A272:A274"/>
    <mergeCell ref="B272:B274"/>
    <mergeCell ref="C272:C274"/>
    <mergeCell ref="D272:D274"/>
    <mergeCell ref="G272:J272"/>
    <mergeCell ref="K272:N272"/>
    <mergeCell ref="O272:O274"/>
    <mergeCell ref="G273:J273"/>
    <mergeCell ref="K273:N273"/>
    <mergeCell ref="A325:O325"/>
    <mergeCell ref="A326:A328"/>
    <mergeCell ref="B326:B328"/>
    <mergeCell ref="C326:C328"/>
    <mergeCell ref="D326:D328"/>
    <mergeCell ref="G326:J326"/>
    <mergeCell ref="K326:N326"/>
    <mergeCell ref="O326:O328"/>
    <mergeCell ref="G327:J327"/>
    <mergeCell ref="K327:N327"/>
    <mergeCell ref="O356:O357"/>
    <mergeCell ref="A380:O380"/>
    <mergeCell ref="A381:O381"/>
    <mergeCell ref="A382:O382"/>
    <mergeCell ref="A383:A385"/>
    <mergeCell ref="B383:B385"/>
    <mergeCell ref="C383:C385"/>
    <mergeCell ref="D383:D385"/>
    <mergeCell ref="G383:J383"/>
    <mergeCell ref="K383:N383"/>
    <mergeCell ref="I356:I357"/>
    <mergeCell ref="J356:J357"/>
    <mergeCell ref="K356:K357"/>
    <mergeCell ref="L356:L357"/>
    <mergeCell ref="M356:M357"/>
    <mergeCell ref="N356:N357"/>
    <mergeCell ref="A356:A357"/>
    <mergeCell ref="B356:B357"/>
    <mergeCell ref="C356:C357"/>
    <mergeCell ref="D356:D357"/>
    <mergeCell ref="G356:G357"/>
    <mergeCell ref="H356:H357"/>
    <mergeCell ref="O383:O385"/>
    <mergeCell ref="G384:J384"/>
    <mergeCell ref="K384:N384"/>
    <mergeCell ref="A437:A439"/>
    <mergeCell ref="B437:B439"/>
    <mergeCell ref="C437:C439"/>
    <mergeCell ref="D437:D439"/>
    <mergeCell ref="G437:J437"/>
    <mergeCell ref="K437:N437"/>
    <mergeCell ref="O437:O439"/>
    <mergeCell ref="G438:J438"/>
    <mergeCell ref="K438:N438"/>
    <mergeCell ref="A461:B462"/>
    <mergeCell ref="C461:C462"/>
    <mergeCell ref="D461:D462"/>
    <mergeCell ref="E461:E462"/>
    <mergeCell ref="F461:F462"/>
    <mergeCell ref="G461:G462"/>
    <mergeCell ref="H461:H462"/>
    <mergeCell ref="I461:I462"/>
    <mergeCell ref="L467:O467"/>
    <mergeCell ref="L468:O468"/>
    <mergeCell ref="L473:O473"/>
    <mergeCell ref="L474:O474"/>
    <mergeCell ref="L477:O477"/>
    <mergeCell ref="L478:O478"/>
    <mergeCell ref="J461:J462"/>
    <mergeCell ref="K461:K462"/>
    <mergeCell ref="L461:L462"/>
    <mergeCell ref="M461:M462"/>
    <mergeCell ref="N461:N462"/>
    <mergeCell ref="O461:O462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1"/>
  <sheetViews>
    <sheetView tabSelected="1" workbookViewId="0">
      <selection activeCell="B18" sqref="B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367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12900160080</v>
      </c>
      <c r="G8" s="107">
        <f>F8/E8</f>
        <v>0.65308512903062999</v>
      </c>
      <c r="H8" s="105">
        <f>SUM(H9:H11)</f>
        <v>12892654530</v>
      </c>
      <c r="I8" s="108">
        <f>H8/E8</f>
        <v>0.65270515211097957</v>
      </c>
      <c r="J8" s="109">
        <f>C8-H8</f>
        <v>6859992570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+juni!I30</f>
        <v>571799280</v>
      </c>
      <c r="G9" s="115">
        <f>F9/E9</f>
        <v>0.50989665350249413</v>
      </c>
      <c r="H9" s="113">
        <f>+juni!M30</f>
        <v>567569280</v>
      </c>
      <c r="I9" s="115">
        <f>H9/E9</f>
        <v>0.50612459061302084</v>
      </c>
      <c r="J9" s="116">
        <f>E9-H9</f>
        <v>553833020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+juni!I62</f>
        <v>12227590300</v>
      </c>
      <c r="G10" s="115">
        <f t="shared" ref="G10:G20" si="0">F10/E10</f>
        <v>0.68035965657445308</v>
      </c>
      <c r="H10" s="113">
        <f>+juni!M62</f>
        <v>12226342500</v>
      </c>
      <c r="I10" s="115">
        <f t="shared" ref="I10:I20" si="1">H10/E10</f>
        <v>0.68029022729536825</v>
      </c>
      <c r="J10" s="116">
        <f t="shared" ref="J10:J20" si="2">E10-H10</f>
        <v>5745902300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+juni!I47</f>
        <v>100770500</v>
      </c>
      <c r="G11" s="131">
        <f t="shared" si="0"/>
        <v>0.15291426403641881</v>
      </c>
      <c r="H11" s="153">
        <f>+juni!M47</f>
        <v>98742750</v>
      </c>
      <c r="I11" s="131">
        <f t="shared" si="1"/>
        <v>0.14983725341426404</v>
      </c>
      <c r="J11" s="154">
        <f t="shared" si="2"/>
        <v>560257250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4915297703</v>
      </c>
      <c r="G12" s="129">
        <f>F12/E12</f>
        <v>0.46081070265208718</v>
      </c>
      <c r="H12" s="157">
        <f>SUM(H13:H15)</f>
        <v>4905877678</v>
      </c>
      <c r="I12" s="129">
        <f>H12/E12</f>
        <v>0.45992757235123055</v>
      </c>
      <c r="J12" s="159">
        <f t="shared" ref="J12:J16" si="4">C12-H12</f>
        <v>5760753272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+juni!I98</f>
        <v>826439050</v>
      </c>
      <c r="G13" s="115">
        <f t="shared" si="0"/>
        <v>0.37426157986308806</v>
      </c>
      <c r="H13" s="113">
        <f>+juni!M98</f>
        <v>818464649</v>
      </c>
      <c r="I13" s="115">
        <f t="shared" si="1"/>
        <v>0.37065028884686396</v>
      </c>
      <c r="J13" s="116">
        <f t="shared" si="2"/>
        <v>1389721001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+juni!I77</f>
        <v>3880090750</v>
      </c>
      <c r="G14" s="115">
        <f t="shared" si="0"/>
        <v>0.64283176508693352</v>
      </c>
      <c r="H14" s="113">
        <f>+juni!M77</f>
        <v>3879828356</v>
      </c>
      <c r="I14" s="115">
        <f t="shared" si="1"/>
        <v>0.64278829311448848</v>
      </c>
      <c r="J14" s="116">
        <f t="shared" si="2"/>
        <v>2156106644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+juni!I113</f>
        <v>208767903</v>
      </c>
      <c r="G15" s="121">
        <f t="shared" si="0"/>
        <v>8.6178334515234059E-2</v>
      </c>
      <c r="H15" s="119">
        <f>+juni!M113</f>
        <v>207584673</v>
      </c>
      <c r="I15" s="131">
        <f t="shared" si="1"/>
        <v>8.5689903155416927E-2</v>
      </c>
      <c r="J15" s="122">
        <f t="shared" si="2"/>
        <v>2214925627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40479750893</v>
      </c>
      <c r="D16" s="125">
        <f>SUM(D17:D20)</f>
        <v>0</v>
      </c>
      <c r="E16" s="126">
        <f t="shared" si="3"/>
        <v>40479750893</v>
      </c>
      <c r="F16" s="127">
        <f>SUM(F17:F20)</f>
        <v>19063585381</v>
      </c>
      <c r="G16" s="128">
        <f>F16/E16</f>
        <v>0.47094127212864317</v>
      </c>
      <c r="H16" s="125">
        <f>SUM(H17:H20)</f>
        <v>19062128336</v>
      </c>
      <c r="I16" s="129">
        <f>H16/E16</f>
        <v>0.47090527771247565</v>
      </c>
      <c r="J16" s="130">
        <f t="shared" si="4"/>
        <v>21417622557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+juni!I126</f>
        <v>401082650</v>
      </c>
      <c r="G17" s="115">
        <f t="shared" si="0"/>
        <v>0.35888723679681211</v>
      </c>
      <c r="H17" s="133">
        <f>+juni!M126</f>
        <v>400820150</v>
      </c>
      <c r="I17" s="115">
        <f t="shared" si="1"/>
        <v>0.35865235279058755</v>
      </c>
      <c r="J17" s="116">
        <f t="shared" si="2"/>
        <v>716752750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+juni!I192</f>
        <v>441077320</v>
      </c>
      <c r="G18" s="115">
        <f>F18/E18</f>
        <v>0.37093081595351951</v>
      </c>
      <c r="H18" s="133">
        <f>+juni!M192</f>
        <v>441067320</v>
      </c>
      <c r="I18" s="115">
        <f t="shared" si="1"/>
        <v>0.37092240629836076</v>
      </c>
      <c r="J18" s="116">
        <f t="shared" si="2"/>
        <v>748042080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+jan!D256</f>
        <v>12180425000</v>
      </c>
      <c r="D19" s="133"/>
      <c r="E19" s="114">
        <f t="shared" si="5"/>
        <v>12180425000</v>
      </c>
      <c r="F19" s="133">
        <f>+juni!I255</f>
        <v>5883332060</v>
      </c>
      <c r="G19" s="115">
        <f t="shared" ref="G19" si="6">F19/E19</f>
        <v>0.48301533485079545</v>
      </c>
      <c r="H19" s="133">
        <f>+juni!M255</f>
        <v>5882159215</v>
      </c>
      <c r="I19" s="115">
        <f t="shared" si="1"/>
        <v>0.48291904551770565</v>
      </c>
      <c r="J19" s="116">
        <f t="shared" si="2"/>
        <v>6298265785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+jan!D176</f>
        <v>25992643593</v>
      </c>
      <c r="D20" s="133"/>
      <c r="E20" s="114">
        <f t="shared" si="3"/>
        <v>25992643593</v>
      </c>
      <c r="F20" s="133">
        <f>+juni!I175</f>
        <v>12338093351</v>
      </c>
      <c r="G20" s="115">
        <f t="shared" si="0"/>
        <v>0.47467635628731258</v>
      </c>
      <c r="H20" s="133">
        <f>+juni!M175</f>
        <v>12338081651</v>
      </c>
      <c r="I20" s="115">
        <f t="shared" si="1"/>
        <v>0.47467590615995409</v>
      </c>
      <c r="J20" s="116">
        <f t="shared" si="2"/>
        <v>13654561942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70899028943</v>
      </c>
      <c r="D21" s="163">
        <f>D16+D12+D8</f>
        <v>0</v>
      </c>
      <c r="E21" s="164">
        <f>D21+C21</f>
        <v>70899028943</v>
      </c>
      <c r="F21" s="164">
        <f>F16+F12+F8</f>
        <v>36879043164</v>
      </c>
      <c r="G21" s="165">
        <f>F21/E21</f>
        <v>0.52016288112562559</v>
      </c>
      <c r="H21" s="166">
        <f>H16+H12+H8</f>
        <v>36860660544</v>
      </c>
      <c r="I21" s="165">
        <f>H21/E21</f>
        <v>0.51990360225715515</v>
      </c>
      <c r="J21" s="167">
        <f>E21-H21</f>
        <v>34038368399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F24" s="195"/>
      <c r="H24" s="443" t="s">
        <v>366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66" t="s">
        <v>343</v>
      </c>
      <c r="I30" s="466"/>
      <c r="J30" s="466"/>
      <c r="K30" s="66"/>
    </row>
    <row r="31" spans="1:11" x14ac:dyDescent="0.25">
      <c r="H31" s="465" t="s">
        <v>342</v>
      </c>
      <c r="I31" s="465"/>
      <c r="J31" s="465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E14"/>
  <sheetViews>
    <sheetView zoomScale="84" zoomScaleNormal="84" workbookViewId="0">
      <selection activeCell="B18" sqref="B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juni'!F9</f>
        <v>571799280</v>
      </c>
      <c r="E4" s="195">
        <f>+'Rekap juni'!H9</f>
        <v>567569280</v>
      </c>
    </row>
    <row r="5" spans="2:5" x14ac:dyDescent="0.25">
      <c r="B5" t="s">
        <v>287</v>
      </c>
      <c r="C5" s="195">
        <f>+'Rekap jan'!C10</f>
        <v>17972244800</v>
      </c>
      <c r="D5" s="195">
        <f>+'Rekap juni'!F10</f>
        <v>12227590300</v>
      </c>
      <c r="E5" s="195">
        <f>+'Rekap juni'!H10</f>
        <v>12226342500</v>
      </c>
    </row>
    <row r="6" spans="2:5" x14ac:dyDescent="0.25">
      <c r="B6" t="s">
        <v>288</v>
      </c>
      <c r="C6" s="195">
        <f>+'Rekap jan'!C11</f>
        <v>659000000</v>
      </c>
      <c r="D6" s="195">
        <f>+'Rekap juni'!F11</f>
        <v>100770500</v>
      </c>
      <c r="E6" s="195">
        <f>+'Rekap juni'!H11</f>
        <v>98742750</v>
      </c>
    </row>
    <row r="7" spans="2:5" x14ac:dyDescent="0.25">
      <c r="B7" s="349" t="s">
        <v>360</v>
      </c>
      <c r="C7" s="195">
        <f>+'Rekap peb'!C13</f>
        <v>2208185650</v>
      </c>
      <c r="D7" s="195">
        <f>+'Rekap juni'!F13</f>
        <v>826439050</v>
      </c>
      <c r="E7" s="195">
        <f>+'Rekap juni'!H13</f>
        <v>818464649</v>
      </c>
    </row>
    <row r="8" spans="2:5" x14ac:dyDescent="0.25">
      <c r="B8" t="s">
        <v>284</v>
      </c>
      <c r="C8" s="195">
        <f>+'Rekap jan'!C14</f>
        <v>6035935000</v>
      </c>
      <c r="D8" s="195">
        <f>+'Rekap juni'!F14</f>
        <v>3880090750</v>
      </c>
      <c r="E8" s="195">
        <f>+'Rekap juni'!H14</f>
        <v>3879828356</v>
      </c>
    </row>
    <row r="9" spans="2:5" x14ac:dyDescent="0.25">
      <c r="B9" t="s">
        <v>290</v>
      </c>
      <c r="C9" s="195">
        <f>+'Rekap jan'!C15</f>
        <v>2422510300</v>
      </c>
      <c r="D9" s="195">
        <f>+'Rekap juni'!F15</f>
        <v>208767903</v>
      </c>
      <c r="E9" s="195">
        <f>+'Rekap juni'!H15</f>
        <v>207584673</v>
      </c>
    </row>
    <row r="10" spans="2:5" x14ac:dyDescent="0.25">
      <c r="B10" t="s">
        <v>361</v>
      </c>
      <c r="C10" s="195">
        <f>+'Rekap jan'!C17</f>
        <v>1117572900</v>
      </c>
      <c r="D10" s="195">
        <f>+'Rekap juni'!F17</f>
        <v>401082650</v>
      </c>
      <c r="E10" s="195">
        <f>+'Rekap juni'!H15</f>
        <v>207584673</v>
      </c>
    </row>
    <row r="11" spans="2:5" x14ac:dyDescent="0.25">
      <c r="B11" t="s">
        <v>291</v>
      </c>
      <c r="C11" s="195">
        <f>+'Rekap jan'!C18</f>
        <v>1189109400</v>
      </c>
      <c r="D11" s="195">
        <f>+'Rekap juni'!F18</f>
        <v>441077320</v>
      </c>
      <c r="E11" s="195">
        <f>+'Rekap juni'!H18</f>
        <v>441067320</v>
      </c>
    </row>
    <row r="12" spans="2:5" x14ac:dyDescent="0.25">
      <c r="B12" t="s">
        <v>292</v>
      </c>
      <c r="C12" s="195">
        <f>+'Rekap jan'!C19</f>
        <v>12180425000</v>
      </c>
      <c r="D12" s="195">
        <f>+'Rekap juni'!F19</f>
        <v>5883332060</v>
      </c>
      <c r="E12" s="195">
        <f>+'Rekap juni'!H19</f>
        <v>5882159215</v>
      </c>
    </row>
    <row r="13" spans="2:5" x14ac:dyDescent="0.25">
      <c r="B13" t="s">
        <v>293</v>
      </c>
      <c r="C13" s="195">
        <f>+'Rekap jan'!C20</f>
        <v>25992643593</v>
      </c>
      <c r="D13" s="195">
        <f>+'Rekap juni'!F20</f>
        <v>12338093351</v>
      </c>
      <c r="E13" s="195">
        <f>+'Rekap juni'!H20</f>
        <v>12338081651</v>
      </c>
    </row>
    <row r="14" spans="2:5" x14ac:dyDescent="0.25">
      <c r="C14" s="308">
        <f>SUM(C4:C13)</f>
        <v>70899028943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N588"/>
  <sheetViews>
    <sheetView view="pageBreakPreview" topLeftCell="G100" zoomScale="110" zoomScaleSheetLayoutView="110" workbookViewId="0">
      <selection activeCell="B18" sqref="B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4" style="68" customWidth="1"/>
    <col min="4" max="4" width="15.85546875" style="5" hidden="1" customWidth="1"/>
    <col min="5" max="5" width="14.57031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9.140625" style="68" customWidth="1"/>
    <col min="20" max="20" width="9.140625" style="68"/>
    <col min="21" max="21" width="18.85546875" style="68" bestFit="1" customWidth="1"/>
    <col min="22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369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571799280</v>
      </c>
      <c r="H12" s="10">
        <f t="shared" si="0"/>
        <v>37778500</v>
      </c>
      <c r="I12" s="10">
        <f>+G12+H12</f>
        <v>609577780</v>
      </c>
      <c r="J12" s="168">
        <f>+I12/F12</f>
        <v>0.54358527711241544</v>
      </c>
      <c r="K12" s="10">
        <f t="shared" ref="K12:L12" si="1">+K14+K24</f>
        <v>567569280</v>
      </c>
      <c r="L12" s="10">
        <f t="shared" si="1"/>
        <v>40045000</v>
      </c>
      <c r="M12" s="180">
        <f>+K12+L12</f>
        <v>607614280</v>
      </c>
      <c r="N12" s="169">
        <f>+M12/F12</f>
        <v>0.54183434437400391</v>
      </c>
      <c r="O12" s="10">
        <f>+F12-M12</f>
        <v>513788020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391381280</v>
      </c>
      <c r="H14" s="178">
        <f>+H16+H20+H18</f>
        <v>35565000</v>
      </c>
      <c r="I14" s="10">
        <f>+G14+H14</f>
        <v>426946280</v>
      </c>
      <c r="J14" s="168">
        <f>+I14/F14</f>
        <v>0.46226954398355197</v>
      </c>
      <c r="K14" s="178">
        <f>+K16+K20+K18</f>
        <v>391086280</v>
      </c>
      <c r="L14" s="178">
        <f>+L16+L20+L18</f>
        <v>35860000</v>
      </c>
      <c r="M14" s="180">
        <f>+K14+L14</f>
        <v>426946280</v>
      </c>
      <c r="N14" s="169">
        <f>+M14/F14</f>
        <v>0.46226954398355197</v>
      </c>
      <c r="O14" s="10">
        <f>+F14-M14</f>
        <v>496641020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+juni!I16</f>
        <v>196835880</v>
      </c>
      <c r="H16" s="80">
        <v>0</v>
      </c>
      <c r="I16" s="15">
        <f>+G16+H16</f>
        <v>196835880</v>
      </c>
      <c r="J16" s="143">
        <f>+I16/F16</f>
        <v>0.47966669241643367</v>
      </c>
      <c r="K16" s="80">
        <f>+juni!M16</f>
        <v>196835880</v>
      </c>
      <c r="L16" s="80">
        <v>0</v>
      </c>
      <c r="M16" s="80">
        <f>+K16+L16</f>
        <v>196835880</v>
      </c>
      <c r="N16" s="171">
        <f>+M16/F16</f>
        <v>0.47966669241643367</v>
      </c>
      <c r="O16" s="15">
        <f>+F16-M16</f>
        <v>213523820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+juni!I18</f>
        <v>190151000</v>
      </c>
      <c r="H18" s="79">
        <v>33115000</v>
      </c>
      <c r="I18" s="15">
        <f>+G18+H18</f>
        <v>223266000</v>
      </c>
      <c r="J18" s="143">
        <f>+I18/F18</f>
        <v>0.52137227960084775</v>
      </c>
      <c r="K18" s="80">
        <f>+juni!M18</f>
        <v>189856000</v>
      </c>
      <c r="L18" s="80">
        <v>33410000</v>
      </c>
      <c r="M18" s="80">
        <f>+K18+L18</f>
        <v>223266000</v>
      </c>
      <c r="N18" s="171">
        <f>+M18/F18</f>
        <v>0.52137227960084775</v>
      </c>
      <c r="O18" s="15">
        <f>+F18-M18</f>
        <v>204961600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+juni!I20</f>
        <v>4394400</v>
      </c>
      <c r="H20" s="79">
        <v>2450000</v>
      </c>
      <c r="I20" s="15">
        <f>+G20+H20</f>
        <v>6844400</v>
      </c>
      <c r="J20" s="143">
        <f>+I20/F20</f>
        <v>8.0522352941176475E-2</v>
      </c>
      <c r="K20" s="80">
        <f>+juni!M20</f>
        <v>4394400</v>
      </c>
      <c r="L20" s="80">
        <v>2450000</v>
      </c>
      <c r="M20" s="80">
        <f>+K20+L20</f>
        <v>6844400</v>
      </c>
      <c r="N20" s="171">
        <f>+M20/F20</f>
        <v>8.0522352941176475E-2</v>
      </c>
      <c r="O20" s="15">
        <f>+F20-M20</f>
        <v>78155600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391381280</v>
      </c>
      <c r="H22" s="224">
        <f>+H16+H20+H18</f>
        <v>35565000</v>
      </c>
      <c r="I22" s="141">
        <f>+G22+H22</f>
        <v>426946280</v>
      </c>
      <c r="J22" s="233">
        <f>+I22/F22</f>
        <v>0.46226954398355197</v>
      </c>
      <c r="K22" s="224">
        <f t="shared" ref="K22:L22" si="7">+K16+K20+K18</f>
        <v>391086280</v>
      </c>
      <c r="L22" s="224">
        <f t="shared" si="7"/>
        <v>35860000</v>
      </c>
      <c r="M22" s="232">
        <f>+K22+L22</f>
        <v>426946280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180418000</v>
      </c>
      <c r="H24" s="178">
        <f>+H26</f>
        <v>2213500</v>
      </c>
      <c r="I24" s="10">
        <f>+G24+H24</f>
        <v>182631500</v>
      </c>
      <c r="J24" s="168">
        <f>+I24/F24</f>
        <v>0.92324394004499155</v>
      </c>
      <c r="K24" s="178">
        <f>+K26</f>
        <v>176483000</v>
      </c>
      <c r="L24" s="178">
        <f t="shared" ref="L24:M24" si="9">+L26</f>
        <v>4185000</v>
      </c>
      <c r="M24" s="178">
        <f t="shared" si="9"/>
        <v>180668000</v>
      </c>
      <c r="N24" s="169">
        <f>+M24/F24</f>
        <v>0.91331799914061118</v>
      </c>
      <c r="O24" s="10">
        <f t="shared" ref="O24" si="10">+D24-M24</f>
        <v>17147000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+juni!I26</f>
        <v>180418000</v>
      </c>
      <c r="H26" s="79">
        <v>2213500</v>
      </c>
      <c r="I26" s="15">
        <f>+G26+H26</f>
        <v>182631500</v>
      </c>
      <c r="J26" s="143">
        <f>+I26/F26</f>
        <v>0.92324394004499155</v>
      </c>
      <c r="K26" s="80">
        <f>+juni!M26</f>
        <v>176483000</v>
      </c>
      <c r="L26" s="80">
        <v>4185000</v>
      </c>
      <c r="M26" s="80">
        <f>+K26+L26</f>
        <v>180668000</v>
      </c>
      <c r="N26" s="171">
        <f>+M26/F26</f>
        <v>0.91331799914061118</v>
      </c>
      <c r="O26" s="15">
        <f>+F26-M26</f>
        <v>17147000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180418000</v>
      </c>
      <c r="H28" s="224">
        <f t="shared" si="14"/>
        <v>2213500</v>
      </c>
      <c r="I28" s="232">
        <f>+G28+H28</f>
        <v>182631500</v>
      </c>
      <c r="J28" s="233">
        <f>+I28/F28</f>
        <v>0.92324394004499155</v>
      </c>
      <c r="K28" s="224">
        <f t="shared" ref="K28:L28" si="15">+K26</f>
        <v>176483000</v>
      </c>
      <c r="L28" s="224">
        <f t="shared" si="15"/>
        <v>4185000</v>
      </c>
      <c r="M28" s="232">
        <f>+K28+L28</f>
        <v>180668000</v>
      </c>
      <c r="N28" s="173">
        <f>+M28/F28</f>
        <v>0.91331799914061118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571799280</v>
      </c>
      <c r="H30" s="364">
        <f t="shared" si="16"/>
        <v>37778500</v>
      </c>
      <c r="I30" s="364">
        <f>+G30+H30</f>
        <v>609577780</v>
      </c>
      <c r="J30" s="368">
        <f>+I30/F30</f>
        <v>0.54358527711241544</v>
      </c>
      <c r="K30" s="364">
        <f t="shared" ref="K30:L30" si="17">K12</f>
        <v>567569280</v>
      </c>
      <c r="L30" s="364">
        <f t="shared" si="17"/>
        <v>40045000</v>
      </c>
      <c r="M30" s="364">
        <f>+K30+L30</f>
        <v>607614280</v>
      </c>
      <c r="N30" s="366">
        <f>+M30/F30</f>
        <v>0.54183434437400391</v>
      </c>
      <c r="O30" s="364">
        <f>+F30-M30</f>
        <v>513788020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100770500</v>
      </c>
      <c r="H35" s="11">
        <f t="shared" si="19"/>
        <v>50475000</v>
      </c>
      <c r="I35" s="10">
        <f>+G35+H35</f>
        <v>151245500</v>
      </c>
      <c r="J35" s="168">
        <f>+I35/F35</f>
        <v>0.22950758725341427</v>
      </c>
      <c r="K35" s="10">
        <f t="shared" ref="K35:L35" si="20">K45</f>
        <v>98742750</v>
      </c>
      <c r="L35" s="10">
        <f t="shared" si="20"/>
        <v>49507750</v>
      </c>
      <c r="M35" s="10">
        <f>+K35+L35</f>
        <v>148250500</v>
      </c>
      <c r="N35" s="169">
        <f>+M35/F35</f>
        <v>0.2249628224582701</v>
      </c>
      <c r="O35" s="10">
        <f>+F35-M35</f>
        <v>510749500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100770500</v>
      </c>
      <c r="H37" s="194">
        <f>+H39+H41+H43</f>
        <v>50475000</v>
      </c>
      <c r="I37" s="180">
        <f>+G37+H37</f>
        <v>151245500</v>
      </c>
      <c r="J37" s="168">
        <f>+I37/F37</f>
        <v>0.22950758725341427</v>
      </c>
      <c r="K37" s="194">
        <f>+K39+K41+K43</f>
        <v>98742750</v>
      </c>
      <c r="L37" s="194">
        <f>+L39+L41+L43</f>
        <v>49507750</v>
      </c>
      <c r="M37" s="180">
        <f>+K37+L37</f>
        <v>148250500</v>
      </c>
      <c r="N37" s="169">
        <f>+M37/F37</f>
        <v>0.2249628224582701</v>
      </c>
      <c r="O37" s="10">
        <f>+F37-M37</f>
        <v>510749500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+juni!I39</f>
        <v>63600000</v>
      </c>
      <c r="H39" s="79">
        <f>11200000+19500000</f>
        <v>30700000</v>
      </c>
      <c r="I39" s="80">
        <f>+G39+H39</f>
        <v>94300000</v>
      </c>
      <c r="J39" s="143">
        <f>+I39/F39</f>
        <v>0.58937499999999998</v>
      </c>
      <c r="K39" s="80">
        <f>+juni!M39</f>
        <v>62564250</v>
      </c>
      <c r="L39" s="80">
        <f>11200000+19609000</f>
        <v>30809000</v>
      </c>
      <c r="M39" s="80">
        <f>+K39+L39</f>
        <v>93373250</v>
      </c>
      <c r="N39" s="171">
        <f>+M39/F39</f>
        <v>0.58358281249999999</v>
      </c>
      <c r="O39" s="15">
        <f>+F39-M39</f>
        <v>66626750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+juni!I41</f>
        <v>34605000</v>
      </c>
      <c r="H41" s="30">
        <v>3150000</v>
      </c>
      <c r="I41" s="80">
        <f>+G41+H41</f>
        <v>37755000</v>
      </c>
      <c r="J41" s="143">
        <f>+I41/F41</f>
        <v>0.11835423197492163</v>
      </c>
      <c r="K41" s="80">
        <f>+juni!M41</f>
        <v>34557000</v>
      </c>
      <c r="L41" s="15">
        <v>2073750</v>
      </c>
      <c r="M41" s="80">
        <f>+K41+L41</f>
        <v>36630750</v>
      </c>
      <c r="N41" s="171">
        <f>+M41/F41</f>
        <v>0.11482993730407523</v>
      </c>
      <c r="O41" s="15">
        <f>+F41-M41</f>
        <v>282369250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467" t="s">
        <v>240</v>
      </c>
      <c r="D43" s="13">
        <v>180000000</v>
      </c>
      <c r="E43" s="14"/>
      <c r="F43" s="13">
        <f>+D43+E43</f>
        <v>180000000</v>
      </c>
      <c r="G43" s="80">
        <f>+juni!I43</f>
        <v>2565500</v>
      </c>
      <c r="H43" s="79">
        <v>16625000</v>
      </c>
      <c r="I43" s="80">
        <f>+G43+H43</f>
        <v>19190500</v>
      </c>
      <c r="J43" s="143">
        <f>+I43/F43</f>
        <v>0.10661388888888888</v>
      </c>
      <c r="K43" s="80">
        <f>+juni!M43</f>
        <v>1621500</v>
      </c>
      <c r="L43" s="80">
        <v>16625000</v>
      </c>
      <c r="M43" s="80">
        <f>+K43+L43</f>
        <v>18246500</v>
      </c>
      <c r="N43" s="171">
        <f>+M43/F43</f>
        <v>0.10136944444444444</v>
      </c>
      <c r="O43" s="15">
        <f>+F43-M43</f>
        <v>161753500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467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100770500</v>
      </c>
      <c r="H45" s="10">
        <f>SUM(H39:H43)</f>
        <v>50475000</v>
      </c>
      <c r="I45" s="10">
        <f>+G45+H45</f>
        <v>151245500</v>
      </c>
      <c r="J45" s="168">
        <f>+I45/F45</f>
        <v>0.22950758725341427</v>
      </c>
      <c r="K45" s="10">
        <f>SUM(K39:K43)</f>
        <v>98742750</v>
      </c>
      <c r="L45" s="10">
        <f>SUM(L39:L43)</f>
        <v>49507750</v>
      </c>
      <c r="M45" s="10">
        <f>+K45+L45</f>
        <v>148250500</v>
      </c>
      <c r="N45" s="169">
        <f>+M45/F45</f>
        <v>0.2249628224582701</v>
      </c>
      <c r="O45" s="10">
        <f>+D45-M45</f>
        <v>510749500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100770500</v>
      </c>
      <c r="H47" s="387">
        <f t="shared" si="23"/>
        <v>50475000</v>
      </c>
      <c r="I47" s="387">
        <f>+G47+H47</f>
        <v>151245500</v>
      </c>
      <c r="J47" s="397">
        <f>+I47/F47</f>
        <v>0.22950758725341427</v>
      </c>
      <c r="K47" s="387">
        <f t="shared" ref="K47:M47" si="24">K45</f>
        <v>98742750</v>
      </c>
      <c r="L47" s="387">
        <f t="shared" si="24"/>
        <v>49507750</v>
      </c>
      <c r="M47" s="387">
        <f t="shared" si="24"/>
        <v>148250500</v>
      </c>
      <c r="N47" s="394">
        <f>+M47/F47</f>
        <v>0.2249628224582701</v>
      </c>
      <c r="O47" s="387">
        <f>+F47-M47</f>
        <v>510749500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12227590300</v>
      </c>
      <c r="H52" s="10">
        <f t="shared" si="26"/>
        <v>1988573000</v>
      </c>
      <c r="I52" s="312">
        <f>+G52+H52</f>
        <v>14216163300</v>
      </c>
      <c r="J52" s="168">
        <f>+I52/F52</f>
        <v>0.79100654693953421</v>
      </c>
      <c r="K52" s="312">
        <f t="shared" ref="K52:L52" si="27">+K62</f>
        <v>12226342500</v>
      </c>
      <c r="L52" s="10">
        <f t="shared" si="27"/>
        <v>1984628000</v>
      </c>
      <c r="M52" s="312">
        <f>+K52+L52</f>
        <v>14210970500</v>
      </c>
      <c r="N52" s="169">
        <f>+M52/F52</f>
        <v>0.7907176125266222</v>
      </c>
      <c r="O52" s="10">
        <f>+F52-M52</f>
        <v>3761274300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315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12227590300</v>
      </c>
      <c r="H54" s="178">
        <f t="shared" si="28"/>
        <v>1988573000</v>
      </c>
      <c r="I54" s="312">
        <f>+G54+H54</f>
        <v>14216163300</v>
      </c>
      <c r="J54" s="168">
        <f>+I54/F54</f>
        <v>0.79100654693953421</v>
      </c>
      <c r="K54" s="314">
        <f>SUM(K56:K60)</f>
        <v>12226342500</v>
      </c>
      <c r="L54" s="314">
        <f>SUM(L56:L60)</f>
        <v>1984628000</v>
      </c>
      <c r="M54" s="351">
        <f>+K54+L54</f>
        <v>14210970500</v>
      </c>
      <c r="N54" s="169">
        <f>+M54/F54</f>
        <v>0.7907176125266222</v>
      </c>
      <c r="O54" s="10">
        <f>+F54-M54</f>
        <v>3761274300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+juni!I56</f>
        <v>9849789300</v>
      </c>
      <c r="H56" s="79">
        <f>39000000+211850000+40270000+46150000+59620000+17150000+51750000+25498000+41400000+27060000+1389505000</f>
        <v>1949253000</v>
      </c>
      <c r="I56" s="352">
        <f>+G56+H56</f>
        <v>11799042300</v>
      </c>
      <c r="J56" s="143">
        <f>+I56/F56</f>
        <v>0.83471457147563655</v>
      </c>
      <c r="K56" s="315">
        <f>+juni!M56</f>
        <v>9849541500</v>
      </c>
      <c r="L56" s="79">
        <f>39000000+211850000+40270000+46150000+59620000+17150000+51750000+41400000+27060000+1389505000+25498000</f>
        <v>1949253000</v>
      </c>
      <c r="M56" s="315">
        <f>+K56+L56</f>
        <v>11798794500</v>
      </c>
      <c r="N56" s="171">
        <f>+M56/F56</f>
        <v>0.83469704104684816</v>
      </c>
      <c r="O56" s="15">
        <f>+F56-M56</f>
        <v>2336627000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+juni!I58</f>
        <v>1905640000</v>
      </c>
      <c r="H58" s="79">
        <v>4260000</v>
      </c>
      <c r="I58" s="15">
        <f>+G58+H58</f>
        <v>1909900000</v>
      </c>
      <c r="J58" s="143">
        <f>+I58/F58</f>
        <v>0.67424655974156722</v>
      </c>
      <c r="K58" s="315">
        <f>+juni!M58</f>
        <v>1904640000</v>
      </c>
      <c r="L58" s="80">
        <f>4260000+1000000</f>
        <v>5260000</v>
      </c>
      <c r="M58" s="80">
        <f>+K58+L58</f>
        <v>1909900000</v>
      </c>
      <c r="N58" s="171">
        <f>+M58/F58</f>
        <v>0.67424655974156722</v>
      </c>
      <c r="O58" s="15">
        <f>+F58-M58</f>
        <v>922743300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+juni!I60</f>
        <v>472161000</v>
      </c>
      <c r="H60" s="79">
        <v>35060000</v>
      </c>
      <c r="I60" s="15">
        <f>+G60+H60</f>
        <v>507221000</v>
      </c>
      <c r="J60" s="143">
        <f>+I60/F60</f>
        <v>0.50510964169770356</v>
      </c>
      <c r="K60" s="80">
        <f>+juni!M60</f>
        <v>472161000</v>
      </c>
      <c r="L60" s="80">
        <v>30115000</v>
      </c>
      <c r="M60" s="80">
        <f>+K60+L60</f>
        <v>502276000</v>
      </c>
      <c r="N60" s="171">
        <f>+M60/F60</f>
        <v>0.5001852257563385</v>
      </c>
      <c r="O60" s="15">
        <f>+F60-M60</f>
        <v>501904000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12227590300</v>
      </c>
      <c r="H62" s="364">
        <f>SUM(H56:H60)</f>
        <v>1988573000</v>
      </c>
      <c r="I62" s="455">
        <f>H62+G62</f>
        <v>14216163300</v>
      </c>
      <c r="J62" s="368">
        <f>+I62/F62</f>
        <v>0.79100654693953421</v>
      </c>
      <c r="K62" s="455">
        <f>SUM(K56:K60)</f>
        <v>12226342500</v>
      </c>
      <c r="L62" s="364">
        <f>SUM(L56:L60)</f>
        <v>1984628000</v>
      </c>
      <c r="M62" s="455">
        <f>K62+L62</f>
        <v>14210970500</v>
      </c>
      <c r="N62" s="366">
        <f>+M62/F62</f>
        <v>0.7907176125266222</v>
      </c>
      <c r="O62" s="364">
        <f>+F62-M62</f>
        <v>3761274300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464"/>
      <c r="J63" s="369"/>
      <c r="K63" s="464"/>
      <c r="L63" s="365"/>
      <c r="M63" s="464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27.75" customHeight="1" x14ac:dyDescent="0.2">
      <c r="A67" s="74"/>
      <c r="B67" s="217" t="s">
        <v>158</v>
      </c>
      <c r="C67" s="229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350">
        <f t="shared" ref="G67" si="33">+G77</f>
        <v>3880090750</v>
      </c>
      <c r="H67" s="239">
        <f>+H77</f>
        <v>27301000</v>
      </c>
      <c r="I67" s="10">
        <f>+G67+H67</f>
        <v>3907391750</v>
      </c>
      <c r="J67" s="168">
        <f>+I67/F67</f>
        <v>0.64735484229038254</v>
      </c>
      <c r="K67" s="351">
        <f>+K77</f>
        <v>3879828356</v>
      </c>
      <c r="L67" s="180">
        <f>+L77</f>
        <v>27515050</v>
      </c>
      <c r="M67" s="180">
        <f>+K67+L67</f>
        <v>3907343406</v>
      </c>
      <c r="N67" s="169">
        <f>+M67/F67</f>
        <v>0.64734683292646455</v>
      </c>
      <c r="O67" s="10">
        <f>+F67-M67</f>
        <v>2128591594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351">
        <f>SUM(G71:G75)</f>
        <v>3880090750</v>
      </c>
      <c r="H69" s="180">
        <f>SUM(H71:H75)</f>
        <v>27301000</v>
      </c>
      <c r="I69" s="180">
        <f>+G69+H69</f>
        <v>3907391750</v>
      </c>
      <c r="J69" s="168">
        <f>+I69/F69</f>
        <v>0.64735484229038254</v>
      </c>
      <c r="K69" s="351">
        <f>SUM(K71:K75)</f>
        <v>3879828356</v>
      </c>
      <c r="L69" s="180">
        <f>SUM(L71:L75)</f>
        <v>27515050</v>
      </c>
      <c r="M69" s="180">
        <f>+K69+L69</f>
        <v>3907343406</v>
      </c>
      <c r="N69" s="169">
        <f>+M69/F69</f>
        <v>0.64734683292646455</v>
      </c>
      <c r="O69" s="10">
        <f>+F69-M69</f>
        <v>2128591594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+juni!I71</f>
        <v>26129000</v>
      </c>
      <c r="H71" s="79">
        <v>6688006</v>
      </c>
      <c r="I71" s="80">
        <f>+G71+H71</f>
        <v>32817006</v>
      </c>
      <c r="J71" s="143">
        <f>+I71/F71</f>
        <v>8.7816446347337443E-2</v>
      </c>
      <c r="K71" s="80">
        <f>+juni!M71</f>
        <v>25927006</v>
      </c>
      <c r="L71" s="80">
        <v>6890000</v>
      </c>
      <c r="M71" s="80">
        <f>+K71+L71</f>
        <v>32817006</v>
      </c>
      <c r="N71" s="171">
        <f>+M71/F71</f>
        <v>8.7816446347337443E-2</v>
      </c>
      <c r="O71" s="15">
        <f>+F71-M71</f>
        <v>340882994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+juni!I73</f>
        <v>68960350</v>
      </c>
      <c r="H73" s="79">
        <f>7550000+9960000+2241000</f>
        <v>19751000</v>
      </c>
      <c r="I73" s="80">
        <f>+G73+H73</f>
        <v>88711350</v>
      </c>
      <c r="J73" s="143">
        <f>+I73/F73</f>
        <v>0.51768874255662334</v>
      </c>
      <c r="K73" s="80">
        <f>+juni!M73</f>
        <v>68960350</v>
      </c>
      <c r="L73" s="80">
        <f>9960000+2241000+7549800</f>
        <v>19750800</v>
      </c>
      <c r="M73" s="80">
        <f>+K73+L73</f>
        <v>88711150</v>
      </c>
      <c r="N73" s="171">
        <f>+M73/F73</f>
        <v>0.51768757542582766</v>
      </c>
      <c r="O73" s="15">
        <f>+F73-M73</f>
        <v>82649250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315">
        <f>+juni!I75</f>
        <v>3785001400</v>
      </c>
      <c r="H75" s="79">
        <v>861994</v>
      </c>
      <c r="I75" s="80">
        <f>+G75+H75</f>
        <v>3785863394</v>
      </c>
      <c r="J75" s="143">
        <f>+I75/F75</f>
        <v>0.68948276363841932</v>
      </c>
      <c r="K75" s="315">
        <f>+juni!M75</f>
        <v>3784941000</v>
      </c>
      <c r="L75" s="80">
        <v>874250</v>
      </c>
      <c r="M75" s="80">
        <f>+K75+L75</f>
        <v>3785815250</v>
      </c>
      <c r="N75" s="171">
        <f>+M75/F75</f>
        <v>0.68947399563632361</v>
      </c>
      <c r="O75" s="15">
        <f>+F75-M75</f>
        <v>1705059350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463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455">
        <f>SUM(G71:G75)</f>
        <v>3880090750</v>
      </c>
      <c r="H77" s="364">
        <f>SUM(H71:H75)</f>
        <v>27301000</v>
      </c>
      <c r="I77" s="364">
        <f>+G77+H77</f>
        <v>3907391750</v>
      </c>
      <c r="J77" s="368">
        <f>+I77/F77</f>
        <v>0.64735484229038254</v>
      </c>
      <c r="K77" s="455">
        <f>SUM(K71:K75)</f>
        <v>3879828356</v>
      </c>
      <c r="L77" s="364">
        <f>SUM(L71:L75)</f>
        <v>27515050</v>
      </c>
      <c r="M77" s="364">
        <f>+K77+L77</f>
        <v>3907343406</v>
      </c>
      <c r="N77" s="366">
        <f>+M77/F77</f>
        <v>0.64734683292646455</v>
      </c>
      <c r="O77" s="364">
        <f>+F77-M77</f>
        <v>2128591594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456"/>
      <c r="D78" s="396"/>
      <c r="E78" s="396"/>
      <c r="F78" s="396"/>
      <c r="G78" s="456"/>
      <c r="H78" s="396"/>
      <c r="I78" s="396"/>
      <c r="J78" s="369"/>
      <c r="K78" s="45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356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10">
        <f t="shared" ref="G82:H82" si="40">+G83+G93</f>
        <v>826439050</v>
      </c>
      <c r="H82" s="10">
        <f t="shared" si="40"/>
        <v>609465250</v>
      </c>
      <c r="I82" s="10">
        <f>+G82+H82</f>
        <v>1435904300</v>
      </c>
      <c r="J82" s="168">
        <f>+I82/F82</f>
        <v>0.65026430182625272</v>
      </c>
      <c r="K82" s="10">
        <f t="shared" ref="K82:L82" si="41">+K83+K93</f>
        <v>818464649</v>
      </c>
      <c r="L82" s="10">
        <f t="shared" si="41"/>
        <v>611829650</v>
      </c>
      <c r="M82" s="10">
        <f>+K82+L82</f>
        <v>1430294299</v>
      </c>
      <c r="N82" s="169">
        <f>+M82/F82</f>
        <v>0.64772375411460537</v>
      </c>
      <c r="O82" s="10">
        <f>+F82-M82</f>
        <v>777891351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10">
        <f>+G91</f>
        <v>772222150</v>
      </c>
      <c r="H83" s="10">
        <f>+H91</f>
        <v>584887250</v>
      </c>
      <c r="I83" s="180">
        <f>+G83+H83</f>
        <v>1357109400</v>
      </c>
      <c r="J83" s="168">
        <f>+I83/F83</f>
        <v>0.72229623786911579</v>
      </c>
      <c r="K83" s="10">
        <f>+K91</f>
        <v>767264099</v>
      </c>
      <c r="L83" s="10">
        <f>+L91</f>
        <v>585401150</v>
      </c>
      <c r="M83" s="180">
        <f>+K83+L83</f>
        <v>1352665249</v>
      </c>
      <c r="N83" s="169">
        <f>+M83/F83</f>
        <v>0.71993092115417567</v>
      </c>
      <c r="O83" s="10">
        <f>+O91+O96</f>
        <v>2656773351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284">
        <f>+juni!I85</f>
        <v>45000000</v>
      </c>
      <c r="H85" s="285">
        <v>0</v>
      </c>
      <c r="I85" s="284">
        <f>G85+H85</f>
        <v>45000000</v>
      </c>
      <c r="J85" s="287">
        <f>+I85/F85</f>
        <v>0.16376028551059912</v>
      </c>
      <c r="K85" s="284">
        <f>+juni!M85</f>
        <v>42800000</v>
      </c>
      <c r="L85" s="284">
        <v>1500000</v>
      </c>
      <c r="M85" s="284">
        <f>K85+L85</f>
        <v>44300000</v>
      </c>
      <c r="N85" s="288">
        <f>+M85/F85</f>
        <v>0.16121290329154533</v>
      </c>
      <c r="O85" s="286">
        <f>+F85-M85</f>
        <v>230491900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+juni!I87</f>
        <v>641821400</v>
      </c>
      <c r="H87" s="79">
        <v>0</v>
      </c>
      <c r="I87" s="284">
        <f>G87+H87</f>
        <v>641821400</v>
      </c>
      <c r="J87" s="143"/>
      <c r="K87" s="80">
        <f>+juni!M87</f>
        <v>641641300</v>
      </c>
      <c r="L87" s="80">
        <v>0</v>
      </c>
      <c r="M87" s="80">
        <f>+K87+L87</f>
        <v>641641300</v>
      </c>
      <c r="N87" s="171">
        <f>+M87/F87</f>
        <v>0.98674363878895477</v>
      </c>
      <c r="O87" s="286">
        <f>+F87-M87</f>
        <v>8620100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3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+juni!I89</f>
        <v>85400750</v>
      </c>
      <c r="H89" s="79">
        <f>20246100+22425000+20000000+522216150</f>
        <v>584887250</v>
      </c>
      <c r="I89" s="15">
        <f>+G89+H89</f>
        <v>670288000</v>
      </c>
      <c r="J89" s="143">
        <f>+I89/F89</f>
        <v>0.70273414922406929</v>
      </c>
      <c r="K89" s="80">
        <f>+juni!M89</f>
        <v>82822799</v>
      </c>
      <c r="L89" s="80">
        <f>22425000+20000000+522216150+19260000</f>
        <v>583901150</v>
      </c>
      <c r="M89" s="80">
        <f>+K89+L89</f>
        <v>666723949</v>
      </c>
      <c r="N89" s="171">
        <f>+M89/F89</f>
        <v>0.69899757577015664</v>
      </c>
      <c r="O89" s="15">
        <f>+F89-M89</f>
        <v>287104751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141">
        <f t="shared" ref="G91:H91" si="43">SUM(G85:G90)</f>
        <v>772222150</v>
      </c>
      <c r="H91" s="141">
        <f t="shared" si="43"/>
        <v>584887250</v>
      </c>
      <c r="I91" s="232">
        <f>+G91+H91</f>
        <v>1357109400</v>
      </c>
      <c r="J91" s="176">
        <f>+I91/F91</f>
        <v>0.72229623786911579</v>
      </c>
      <c r="K91" s="141">
        <f t="shared" ref="K91" si="44">SUM(K85:K90)</f>
        <v>767264099</v>
      </c>
      <c r="L91" s="141">
        <f>SUM(L85:L90)</f>
        <v>585401150</v>
      </c>
      <c r="M91" s="232">
        <f>+K91+L91</f>
        <v>1352665249</v>
      </c>
      <c r="N91" s="173">
        <f>+M91/F91</f>
        <v>0.71993092115417567</v>
      </c>
      <c r="O91" s="141">
        <f>SUM(O85:O90)</f>
        <v>526216751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54216900</v>
      </c>
      <c r="H93" s="10">
        <f t="shared" si="45"/>
        <v>24578000</v>
      </c>
      <c r="I93" s="180">
        <f>+G93+H93</f>
        <v>78794900</v>
      </c>
      <c r="J93" s="168">
        <f>+I93/F93</f>
        <v>0.23927733567483991</v>
      </c>
      <c r="K93" s="10">
        <f t="shared" ref="K93:L93" si="46">+K95</f>
        <v>51200550</v>
      </c>
      <c r="L93" s="10">
        <f t="shared" si="46"/>
        <v>26428500</v>
      </c>
      <c r="M93" s="180">
        <f>+K93+L93</f>
        <v>77629050</v>
      </c>
      <c r="N93" s="169">
        <f>+M93/F93</f>
        <v>0.23573698621318045</v>
      </c>
      <c r="O93" s="10">
        <f>+F93-M93</f>
        <v>251674600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311</v>
      </c>
      <c r="D95" s="13">
        <v>365942800</v>
      </c>
      <c r="E95" s="14">
        <v>-36639150</v>
      </c>
      <c r="F95" s="13">
        <f>+D95+E95</f>
        <v>329303650</v>
      </c>
      <c r="G95" s="80">
        <f>+juni!I95</f>
        <v>54216900</v>
      </c>
      <c r="H95" s="79">
        <v>24578000</v>
      </c>
      <c r="I95" s="15">
        <f>+G95+H95</f>
        <v>78794900</v>
      </c>
      <c r="J95" s="143">
        <f>+I95/F95</f>
        <v>0.23927733567483991</v>
      </c>
      <c r="K95" s="80">
        <f>+juni!M95</f>
        <v>51200550</v>
      </c>
      <c r="L95" s="80">
        <v>26428500</v>
      </c>
      <c r="M95" s="80">
        <f>+K95+L95</f>
        <v>77629050</v>
      </c>
      <c r="N95" s="171">
        <f>+M95/F95</f>
        <v>0.23573698621318045</v>
      </c>
      <c r="O95" s="15">
        <f>+F95-M95</f>
        <v>251674600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54216900</v>
      </c>
      <c r="H96" s="10">
        <f t="shared" si="48"/>
        <v>24578000</v>
      </c>
      <c r="I96" s="180">
        <f>+G96+H96</f>
        <v>78794900</v>
      </c>
      <c r="J96" s="168">
        <f>+I96/F96</f>
        <v>3.5683095757822719E-2</v>
      </c>
      <c r="K96" s="10">
        <f t="shared" ref="K96:L96" si="49">+K95</f>
        <v>51200550</v>
      </c>
      <c r="L96" s="10">
        <f t="shared" si="49"/>
        <v>26428500</v>
      </c>
      <c r="M96" s="180">
        <f>+K96+L96</f>
        <v>77629050</v>
      </c>
      <c r="N96" s="169">
        <f>+M96/F96</f>
        <v>3.5155128374283202E-2</v>
      </c>
      <c r="O96" s="10">
        <f>+F96-M96</f>
        <v>2130556600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362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364">
        <f t="shared" si="50"/>
        <v>826439050</v>
      </c>
      <c r="H98" s="364">
        <f t="shared" si="50"/>
        <v>609465250</v>
      </c>
      <c r="I98" s="364">
        <f t="shared" si="50"/>
        <v>1435904300</v>
      </c>
      <c r="J98" s="398">
        <f>+I98/F98</f>
        <v>0.65026430182625272</v>
      </c>
      <c r="K98" s="364">
        <f t="shared" ref="K98:L98" si="51">+K83+K93</f>
        <v>818464649</v>
      </c>
      <c r="L98" s="364">
        <f t="shared" si="51"/>
        <v>611829650</v>
      </c>
      <c r="M98" s="364">
        <f>+K98+L98</f>
        <v>1430294299</v>
      </c>
      <c r="N98" s="366">
        <f>+M98/F98</f>
        <v>0.64772375411460537</v>
      </c>
      <c r="O98" s="364">
        <f>+F98-M98</f>
        <v>777891351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396"/>
      <c r="H99" s="396"/>
      <c r="I99" s="396"/>
      <c r="J99" s="399"/>
      <c r="K99" s="39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356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208767903</v>
      </c>
      <c r="H103" s="10">
        <f t="shared" si="54"/>
        <v>109970932</v>
      </c>
      <c r="I103" s="10">
        <f>+G103+H103</f>
        <v>318738835</v>
      </c>
      <c r="J103" s="168">
        <f>+I103/F103</f>
        <v>0.13157377906711068</v>
      </c>
      <c r="K103" s="10">
        <f t="shared" ref="K103:L103" si="55">+K113</f>
        <v>207584673</v>
      </c>
      <c r="L103" s="10">
        <f t="shared" si="55"/>
        <v>89405482</v>
      </c>
      <c r="M103" s="10">
        <f>+K103+L103</f>
        <v>296990155</v>
      </c>
      <c r="N103" s="169">
        <f>+M103/D103</f>
        <v>0.12259603395700733</v>
      </c>
      <c r="O103" s="10">
        <f>+F103-M103</f>
        <v>2125520145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+juni!I105</f>
        <v>208767903</v>
      </c>
      <c r="H105" s="79">
        <v>0</v>
      </c>
      <c r="I105" s="15">
        <f>+G105+H105</f>
        <v>208767903</v>
      </c>
      <c r="J105" s="143">
        <f>+I105/F105</f>
        <v>8.6178334515234059E-2</v>
      </c>
      <c r="K105" s="80">
        <f>+juni!M105</f>
        <v>207584673</v>
      </c>
      <c r="L105" s="80">
        <v>0</v>
      </c>
      <c r="M105" s="80">
        <f>+K105+L105</f>
        <v>207584673</v>
      </c>
      <c r="N105" s="171">
        <f>+M105/F105</f>
        <v>8.5689903155416927E-2</v>
      </c>
      <c r="O105" s="15">
        <f>+F105-M105</f>
        <v>2214925627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+juni!I107</f>
        <v>137149623</v>
      </c>
      <c r="H107" s="79">
        <f>4394300+80261182</f>
        <v>84655482</v>
      </c>
      <c r="I107" s="15">
        <f>+G107+H107</f>
        <v>221805105</v>
      </c>
      <c r="J107" s="143">
        <f>+I107/F107</f>
        <v>9.7981739680966781E-2</v>
      </c>
      <c r="K107" s="80">
        <f>+juni!M107</f>
        <v>136249623</v>
      </c>
      <c r="L107" s="80">
        <f>80261182+5294300</f>
        <v>85555482</v>
      </c>
      <c r="M107" s="80">
        <f>+K107+L107</f>
        <v>221805105</v>
      </c>
      <c r="N107" s="171">
        <f>+M107/F107</f>
        <v>9.7981739680966781E-2</v>
      </c>
      <c r="O107" s="15">
        <f>+F107-M107</f>
        <v>2041934095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+juni!I109</f>
        <v>33262800</v>
      </c>
      <c r="H109" s="79">
        <v>22981600</v>
      </c>
      <c r="I109" s="15">
        <f>+G109+H109</f>
        <v>56244400</v>
      </c>
      <c r="J109" s="143">
        <f>+I109/F109</f>
        <v>0.68954762398074709</v>
      </c>
      <c r="K109" s="80">
        <f>+juni!M109</f>
        <v>33262800</v>
      </c>
      <c r="L109" s="80">
        <v>3850000</v>
      </c>
      <c r="M109" s="80">
        <f>+K109+L109</f>
        <v>37112800</v>
      </c>
      <c r="N109" s="171">
        <f>+M109/F109</f>
        <v>0.45499717410573626</v>
      </c>
      <c r="O109" s="15">
        <f>+F109-M109</f>
        <v>44454300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25.5" customHeight="1" x14ac:dyDescent="0.2">
      <c r="A111" s="74">
        <v>3</v>
      </c>
      <c r="B111" s="75" t="s">
        <v>257</v>
      </c>
      <c r="C111" s="219" t="s">
        <v>259</v>
      </c>
      <c r="D111" s="13">
        <v>77204000</v>
      </c>
      <c r="E111" s="14"/>
      <c r="F111" s="13">
        <f>+D111+E111</f>
        <v>77204000</v>
      </c>
      <c r="G111" s="80">
        <f>+juni!I111</f>
        <v>38355480</v>
      </c>
      <c r="H111" s="79">
        <v>2333850</v>
      </c>
      <c r="I111" s="15">
        <f>+G111+H111</f>
        <v>40689330</v>
      </c>
      <c r="J111" s="143">
        <f>+I111/F111</f>
        <v>0.52703655251023263</v>
      </c>
      <c r="K111" s="80">
        <f>+juni!M111</f>
        <v>38072250</v>
      </c>
      <c r="L111" s="80">
        <v>0</v>
      </c>
      <c r="M111" s="80">
        <f>+K111+L111</f>
        <v>38072250</v>
      </c>
      <c r="N111" s="171">
        <f>+M111/F111</f>
        <v>0.49313830889591215</v>
      </c>
      <c r="O111" s="15">
        <f>+F111-M111</f>
        <v>39131750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208767903</v>
      </c>
      <c r="H113" s="364">
        <f>SUM(H107:H111)</f>
        <v>109970932</v>
      </c>
      <c r="I113" s="364">
        <f>+G113+H113</f>
        <v>318738835</v>
      </c>
      <c r="J113" s="398">
        <f>+I113/F113</f>
        <v>0.13157377906711068</v>
      </c>
      <c r="K113" s="364">
        <f>SUM(K107:K111)</f>
        <v>207584673</v>
      </c>
      <c r="L113" s="364">
        <f>SUM(L107:L111)</f>
        <v>89405482</v>
      </c>
      <c r="M113" s="364">
        <f>+K113+L113</f>
        <v>296990155</v>
      </c>
      <c r="N113" s="366">
        <f>+M113/F113</f>
        <v>0.12259603395700733</v>
      </c>
      <c r="O113" s="364">
        <f>+F113-M113</f>
        <v>2125520145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336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401082650</v>
      </c>
      <c r="H118" s="10">
        <f t="shared" si="63"/>
        <v>151168150</v>
      </c>
      <c r="I118" s="10">
        <f>+G118+H118</f>
        <v>552250800</v>
      </c>
      <c r="J118" s="168">
        <f>+I118/F118</f>
        <v>0.49415192512273698</v>
      </c>
      <c r="K118" s="10">
        <f t="shared" ref="K118:L118" si="64">+K126</f>
        <v>400820150</v>
      </c>
      <c r="L118" s="10">
        <f t="shared" si="64"/>
        <v>151221650</v>
      </c>
      <c r="M118" s="10">
        <f>+K118+L118</f>
        <v>552041800</v>
      </c>
      <c r="N118" s="169">
        <f>+M118/D118</f>
        <v>0.49396491271397153</v>
      </c>
      <c r="O118" s="10">
        <f>+F118-M118</f>
        <v>565531100</v>
      </c>
      <c r="P118" s="77"/>
      <c r="Q118" s="6" t="str">
        <f t="shared" ref="Q118:Q144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+juni!I120</f>
        <v>299864650</v>
      </c>
      <c r="H120" s="79">
        <f>35700000+13484900+13006500+4850000+18695750+2500000+2543000</f>
        <v>90780150</v>
      </c>
      <c r="I120" s="80">
        <f t="shared" ref="I120" si="66">H120+G120</f>
        <v>390644800</v>
      </c>
      <c r="J120" s="143">
        <f>+I120/F120</f>
        <v>0.55340480588145458</v>
      </c>
      <c r="K120" s="80">
        <f>+juni!M120</f>
        <v>299657650</v>
      </c>
      <c r="L120" s="79">
        <f>35700000+13484900+13006500+4850000+18695750+5250000</f>
        <v>90987150</v>
      </c>
      <c r="M120" s="80">
        <f t="shared" ref="M120" si="67">K120+L120</f>
        <v>390644800</v>
      </c>
      <c r="N120" s="171">
        <f>+M120/D120</f>
        <v>0.55340480588145458</v>
      </c>
      <c r="O120" s="15">
        <f>+F120-M120</f>
        <v>315248600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+juni!I122</f>
        <v>18326000</v>
      </c>
      <c r="H122" s="79">
        <v>44000000</v>
      </c>
      <c r="I122" s="15">
        <f>+G122+H122</f>
        <v>62326000</v>
      </c>
      <c r="J122" s="143">
        <f>+I122/F122</f>
        <v>0.40580257443663853</v>
      </c>
      <c r="K122" s="80">
        <f>+juni!M122</f>
        <v>18326000</v>
      </c>
      <c r="L122" s="80">
        <v>44000000</v>
      </c>
      <c r="M122" s="80">
        <f>+K122+L122</f>
        <v>62326000</v>
      </c>
      <c r="N122" s="171">
        <f>+M122/D122</f>
        <v>0.40580257443663853</v>
      </c>
      <c r="O122" s="15">
        <f>+F122-M122</f>
        <v>91261000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+juni!I124</f>
        <v>82892000</v>
      </c>
      <c r="H124" s="79">
        <v>16388000</v>
      </c>
      <c r="I124" s="15">
        <f>+G124+H124</f>
        <v>99280000</v>
      </c>
      <c r="J124" s="143">
        <f>+I124/F124</f>
        <v>0.38466828753257071</v>
      </c>
      <c r="K124" s="80">
        <f>+juni!M124</f>
        <v>82836500</v>
      </c>
      <c r="L124" s="80">
        <v>16234500</v>
      </c>
      <c r="M124" s="80">
        <f>+K124+L124</f>
        <v>99071000</v>
      </c>
      <c r="N124" s="171">
        <f>+M124/D124</f>
        <v>0.38385850034386898</v>
      </c>
      <c r="O124" s="15">
        <f>+F124-M124</f>
        <v>159021500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401082650</v>
      </c>
      <c r="H126" s="364">
        <f>SUM(H120:H124)</f>
        <v>151168150</v>
      </c>
      <c r="I126" s="364">
        <f>+G126+H126</f>
        <v>552250800</v>
      </c>
      <c r="J126" s="368">
        <f>+I126/F126</f>
        <v>0.49415192512273698</v>
      </c>
      <c r="K126" s="364">
        <f>SUM(K120:K124)</f>
        <v>400820150</v>
      </c>
      <c r="L126" s="364">
        <f>SUM(L120:L124)</f>
        <v>151221650</v>
      </c>
      <c r="M126" s="364">
        <f>+K126+L126</f>
        <v>552041800</v>
      </c>
      <c r="N126" s="366">
        <v>0</v>
      </c>
      <c r="O126" s="364">
        <f>+F126-M126</f>
        <v>565531100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+D133+D140+D149+D155</f>
        <v>25693231593</v>
      </c>
      <c r="E131" s="10">
        <f>+E133+E140+E149+E155</f>
        <v>0</v>
      </c>
      <c r="F131" s="10">
        <f>+F133+F140+F149+F155</f>
        <v>25693231593</v>
      </c>
      <c r="G131" s="312">
        <f>+G133+G140+G149+G155</f>
        <v>12338093351</v>
      </c>
      <c r="H131" s="10">
        <f>+H133+H140+H149+H155</f>
        <v>1686085583</v>
      </c>
      <c r="I131" s="312">
        <f>+G131+H131</f>
        <v>14024178934</v>
      </c>
      <c r="J131" s="168">
        <f>+I131/F131</f>
        <v>0.54583164765544023</v>
      </c>
      <c r="K131" s="312">
        <f>+K133+K140+K149+K155</f>
        <v>12338081651</v>
      </c>
      <c r="L131" s="10">
        <f>+L133+L140+L149+L155</f>
        <v>1686085583</v>
      </c>
      <c r="M131" s="312">
        <f>+K131+L131</f>
        <v>14024167234</v>
      </c>
      <c r="N131" s="169">
        <f>+M131/F131</f>
        <v>0.54583119228259391</v>
      </c>
      <c r="O131" s="10">
        <f>+F131-M131</f>
        <v>11669064359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7379000</v>
      </c>
      <c r="H133" s="178">
        <f t="shared" si="72"/>
        <v>0</v>
      </c>
      <c r="I133" s="10">
        <f>+G133+H133</f>
        <v>7379000</v>
      </c>
      <c r="J133" s="168">
        <f>+I133/F133</f>
        <v>0.28354050990412882</v>
      </c>
      <c r="K133" s="178">
        <f t="shared" ref="K133:L133" si="73">+K135+K137</f>
        <v>7379000</v>
      </c>
      <c r="L133" s="178">
        <f t="shared" si="73"/>
        <v>0</v>
      </c>
      <c r="M133" s="180">
        <f>+K133+L133</f>
        <v>7379000</v>
      </c>
      <c r="N133" s="169">
        <f>+M133/F133</f>
        <v>0.28354050990412882</v>
      </c>
      <c r="O133" s="10">
        <f>+F133-M133</f>
        <v>18645500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26.25" customHeight="1" x14ac:dyDescent="0.2">
      <c r="A135" s="74">
        <v>1</v>
      </c>
      <c r="B135" s="75" t="s">
        <v>282</v>
      </c>
      <c r="C135" s="304" t="s">
        <v>301</v>
      </c>
      <c r="D135" s="13">
        <v>11962500</v>
      </c>
      <c r="E135" s="14"/>
      <c r="F135" s="13">
        <f>E135+D135</f>
        <v>11962500</v>
      </c>
      <c r="G135" s="80">
        <f>+juni!I135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+juni!M135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2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+juni!I137</f>
        <v>4439000</v>
      </c>
      <c r="H137" s="79">
        <v>0</v>
      </c>
      <c r="I137" s="15">
        <f>+G137+H137</f>
        <v>4439000</v>
      </c>
      <c r="J137" s="143">
        <f>+I137/F137</f>
        <v>0.31567344616697485</v>
      </c>
      <c r="K137" s="80">
        <f>+juni!M137</f>
        <v>4439000</v>
      </c>
      <c r="L137" s="80">
        <v>0</v>
      </c>
      <c r="M137" s="80">
        <f>+K137+L137</f>
        <v>4439000</v>
      </c>
      <c r="N137" s="171">
        <f>+M137/F137</f>
        <v>0.31567344616697485</v>
      </c>
      <c r="O137" s="15">
        <f>+F137-M137</f>
        <v>9623000</v>
      </c>
      <c r="P137" s="77"/>
      <c r="Q137" s="6" t="str">
        <f t="shared" ref="Q137" si="76">IF(M137&lt;=I137,"OKE","Salah")</f>
        <v>OKE</v>
      </c>
      <c r="R137" s="6"/>
    </row>
    <row r="138" spans="1:23" ht="14.2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20.25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7379000</v>
      </c>
      <c r="H139" s="141">
        <f>+H135+H137</f>
        <v>0</v>
      </c>
      <c r="I139" s="141">
        <f>+G139+H139</f>
        <v>7379000</v>
      </c>
      <c r="J139" s="233">
        <f>+I139/F139</f>
        <v>0.28354050990412882</v>
      </c>
      <c r="K139" s="141">
        <f>+K135+K137</f>
        <v>7379000</v>
      </c>
      <c r="L139" s="141">
        <f>+L135+L137</f>
        <v>0</v>
      </c>
      <c r="M139" s="232">
        <f>+K139+L139</f>
        <v>7379000</v>
      </c>
      <c r="N139" s="247">
        <f>+M139/F139</f>
        <v>0.28354050990412882</v>
      </c>
      <c r="O139" s="141"/>
      <c r="P139" s="83"/>
      <c r="Q139" s="6"/>
      <c r="R139" s="6"/>
    </row>
    <row r="140" spans="1:23" ht="27.75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11790308274</v>
      </c>
      <c r="H140" s="178">
        <f t="shared" si="77"/>
        <v>1580942718</v>
      </c>
      <c r="I140" s="312">
        <f>+G140+H140</f>
        <v>13371250992</v>
      </c>
      <c r="J140" s="168">
        <f>+I140/F140</f>
        <v>0.56018980270871099</v>
      </c>
      <c r="K140" s="314">
        <f t="shared" ref="K140:L140" si="78">SUM(K142:K146)</f>
        <v>11790296574</v>
      </c>
      <c r="L140" s="178">
        <f t="shared" si="78"/>
        <v>1580942718</v>
      </c>
      <c r="M140" s="351">
        <f>+K140+L140</f>
        <v>13371239292</v>
      </c>
      <c r="N140" s="169">
        <f>+M140/D140</f>
        <v>0.56018931253612392</v>
      </c>
      <c r="O140" s="10">
        <f>+F140-M140</f>
        <v>10497904572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+juni!I142</f>
        <v>11768952174</v>
      </c>
      <c r="H142" s="79">
        <f>20629678+21862058+664028456+15487500+849263907+3195119</f>
        <v>1574466718</v>
      </c>
      <c r="I142" s="352">
        <f>+G142+H142</f>
        <v>13343418892</v>
      </c>
      <c r="J142" s="143">
        <f>+I142/F142</f>
        <v>0.56036263593435331</v>
      </c>
      <c r="K142" s="315">
        <f>+juni!M142</f>
        <v>11768952174</v>
      </c>
      <c r="L142" s="79">
        <f>20629678+21862058+664028456+15487500+849263907+3195119</f>
        <v>1574466718</v>
      </c>
      <c r="M142" s="315">
        <f>+K142+L142</f>
        <v>13343418892</v>
      </c>
      <c r="N142" s="171">
        <f>+M142/D142</f>
        <v>0.56036263593435331</v>
      </c>
      <c r="O142" s="15">
        <f>+F142-M142</f>
        <v>10468694972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+juni!I144</f>
        <v>15801500</v>
      </c>
      <c r="H144" s="79">
        <v>4176000</v>
      </c>
      <c r="I144" s="15">
        <f>+G144+H144</f>
        <v>19977500</v>
      </c>
      <c r="J144" s="143">
        <f>+I144/F144</f>
        <v>0.44943757030371201</v>
      </c>
      <c r="K144" s="80">
        <f>+juni!M144</f>
        <v>15801500</v>
      </c>
      <c r="L144" s="80">
        <v>4176000</v>
      </c>
      <c r="M144" s="80">
        <f>+K144+L144</f>
        <v>19977500</v>
      </c>
      <c r="N144" s="171">
        <f>+M144/D144</f>
        <v>0.44943757030371201</v>
      </c>
      <c r="O144" s="15">
        <f>+F144-M144</f>
        <v>24472500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+juni!I146</f>
        <v>5554600</v>
      </c>
      <c r="H146" s="79">
        <v>2300000</v>
      </c>
      <c r="I146" s="15">
        <f>+G146+H146</f>
        <v>7854600</v>
      </c>
      <c r="J146" s="143">
        <f>+I146/F146</f>
        <v>0.62437201907790141</v>
      </c>
      <c r="K146" s="80">
        <f>+juni!M146</f>
        <v>5542900</v>
      </c>
      <c r="L146" s="80">
        <v>2300000</v>
      </c>
      <c r="M146" s="80">
        <f>+K146+L146</f>
        <v>7842900</v>
      </c>
      <c r="N146" s="171">
        <f>+M146/D146</f>
        <v>0.62344197138314783</v>
      </c>
      <c r="O146" s="15">
        <f>+F146-M146</f>
        <v>4737100</v>
      </c>
      <c r="P146" s="83"/>
      <c r="Q146" s="6" t="str">
        <f t="shared" ref="Q146" si="80">IF(M146&lt;=I146,"OKE","Salah")</f>
        <v>OKE</v>
      </c>
      <c r="R146" s="6"/>
    </row>
    <row r="147" spans="1:19" ht="24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11790308274</v>
      </c>
      <c r="H147" s="141">
        <f>SUM(H142:H146)</f>
        <v>1580942718</v>
      </c>
      <c r="I147" s="313">
        <f>+G147+H147</f>
        <v>13371250992</v>
      </c>
      <c r="J147" s="247"/>
      <c r="K147" s="313">
        <f>SUM(K142:K146)</f>
        <v>11790296574</v>
      </c>
      <c r="L147" s="141">
        <f>SUM(L142:L146)</f>
        <v>1580942718</v>
      </c>
      <c r="M147" s="353">
        <f>+K147+L147</f>
        <v>13371239292</v>
      </c>
      <c r="N147" s="173">
        <f>+M147/D147</f>
        <v>0.56018931253612392</v>
      </c>
      <c r="O147" s="141">
        <f>+F147-M147</f>
        <v>10497904572</v>
      </c>
      <c r="P147" s="83"/>
      <c r="Q147" s="6"/>
      <c r="R147" s="6"/>
    </row>
    <row r="148" spans="1:19" ht="15.95" customHeight="1" x14ac:dyDescent="0.2">
      <c r="A148" s="74"/>
      <c r="B148" s="29"/>
      <c r="C148" s="25"/>
      <c r="D148" s="178"/>
      <c r="E148" s="221"/>
      <c r="F148" s="178"/>
      <c r="G148" s="178"/>
      <c r="H148" s="178"/>
      <c r="I148" s="10"/>
      <c r="J148" s="168"/>
      <c r="K148" s="194"/>
      <c r="L148" s="180"/>
      <c r="M148" s="180"/>
      <c r="N148" s="169"/>
      <c r="O148" s="10"/>
      <c r="P148" s="208"/>
      <c r="Q148" s="6"/>
      <c r="R148" s="6"/>
    </row>
    <row r="149" spans="1:19" ht="14.1" customHeight="1" x14ac:dyDescent="0.2">
      <c r="A149" s="212"/>
      <c r="B149" s="214" t="s">
        <v>193</v>
      </c>
      <c r="C149" s="469" t="s">
        <v>313</v>
      </c>
      <c r="D149" s="178">
        <f>+D151</f>
        <v>1621482000</v>
      </c>
      <c r="E149" s="221"/>
      <c r="F149" s="178">
        <f>+D149+E149</f>
        <v>1621482000</v>
      </c>
      <c r="G149" s="178">
        <f t="shared" ref="G149:H149" si="82">+G151</f>
        <v>540406077</v>
      </c>
      <c r="H149" s="178">
        <f t="shared" si="82"/>
        <v>105142865</v>
      </c>
      <c r="I149" s="10">
        <f>+G149+H149</f>
        <v>645548942</v>
      </c>
      <c r="J149" s="168">
        <f>+I149/F149</f>
        <v>0.39812279260577671</v>
      </c>
      <c r="K149" s="178">
        <f t="shared" ref="K149:L149" si="83">+K151</f>
        <v>540406077</v>
      </c>
      <c r="L149" s="178">
        <f t="shared" si="83"/>
        <v>105142865</v>
      </c>
      <c r="M149" s="180">
        <f>+K149+L149</f>
        <v>645548942</v>
      </c>
      <c r="N149" s="169">
        <f>+M149/D149</f>
        <v>0.39812279260577671</v>
      </c>
      <c r="O149" s="10">
        <f>+F149-M149</f>
        <v>975933058</v>
      </c>
      <c r="P149" s="208"/>
      <c r="Q149" s="6" t="str">
        <f t="shared" ref="Q149" si="84">IF(M149&lt;=I149,"OKE","Salah")</f>
        <v>OKE</v>
      </c>
      <c r="R149" s="6"/>
    </row>
    <row r="150" spans="1:19" ht="14.1" customHeight="1" x14ac:dyDescent="0.2">
      <c r="A150" s="212"/>
      <c r="B150" s="218"/>
      <c r="C150" s="469"/>
      <c r="D150" s="178"/>
      <c r="E150" s="221"/>
      <c r="F150" s="178"/>
      <c r="G150" s="178"/>
      <c r="H150" s="178"/>
      <c r="I150" s="10"/>
      <c r="J150" s="168"/>
      <c r="K150" s="194"/>
      <c r="L150" s="180"/>
      <c r="M150" s="180"/>
      <c r="N150" s="169"/>
      <c r="O150" s="10"/>
      <c r="P150" s="208"/>
      <c r="Q150" s="6"/>
      <c r="R150" s="6"/>
    </row>
    <row r="151" spans="1:19" ht="14.1" customHeight="1" x14ac:dyDescent="0.2">
      <c r="A151" s="74">
        <v>6</v>
      </c>
      <c r="B151" s="218"/>
      <c r="C151" s="219" t="s">
        <v>314</v>
      </c>
      <c r="D151" s="13">
        <v>1621482000</v>
      </c>
      <c r="E151" s="14"/>
      <c r="F151" s="13">
        <f>D151</f>
        <v>1621482000</v>
      </c>
      <c r="G151" s="80">
        <f>+juni!I164</f>
        <v>540406077</v>
      </c>
      <c r="H151" s="79">
        <f>749681+4598328+56354856+43440000</f>
        <v>105142865</v>
      </c>
      <c r="I151" s="15">
        <f>+G151+H151</f>
        <v>645548942</v>
      </c>
      <c r="J151" s="143">
        <f>+I151/F151</f>
        <v>0.39812279260577671</v>
      </c>
      <c r="K151" s="80">
        <f>+juni!M164</f>
        <v>540406077</v>
      </c>
      <c r="L151" s="79">
        <f>749681+4598328+56354856+43440000</f>
        <v>105142865</v>
      </c>
      <c r="M151" s="80">
        <f>+K151+L151</f>
        <v>645548942</v>
      </c>
      <c r="N151" s="171">
        <f>+M151/D151</f>
        <v>0.39812279260577671</v>
      </c>
      <c r="O151" s="15">
        <f>+F151-M151</f>
        <v>975933058</v>
      </c>
      <c r="P151" s="83"/>
      <c r="Q151" s="6" t="str">
        <f t="shared" ref="Q151:Q153" si="85">IF(M151&lt;=I151,"OKE","Salah")</f>
        <v>OKE</v>
      </c>
      <c r="R151" s="6"/>
    </row>
    <row r="152" spans="1:19" ht="14.1" customHeight="1" x14ac:dyDescent="0.2">
      <c r="A152" s="212"/>
      <c r="B152" s="218"/>
      <c r="C152" s="25"/>
      <c r="D152" s="178"/>
      <c r="E152" s="221"/>
      <c r="F152" s="178"/>
      <c r="G152" s="178"/>
      <c r="H152" s="178"/>
      <c r="I152" s="10"/>
      <c r="J152" s="168"/>
      <c r="K152" s="194"/>
      <c r="L152" s="180"/>
      <c r="M152" s="180"/>
      <c r="N152" s="169"/>
      <c r="O152" s="10"/>
      <c r="P152" s="208"/>
      <c r="Q152" s="6"/>
      <c r="R152" s="6"/>
    </row>
    <row r="153" spans="1:19" ht="20.25" customHeight="1" x14ac:dyDescent="0.2">
      <c r="A153" s="226"/>
      <c r="B153" s="227"/>
      <c r="C153" s="223" t="s">
        <v>171</v>
      </c>
      <c r="D153" s="224">
        <f>+D151</f>
        <v>1621482000</v>
      </c>
      <c r="E153" s="224">
        <f t="shared" ref="E153:F153" si="86">+E151</f>
        <v>0</v>
      </c>
      <c r="F153" s="224">
        <f t="shared" si="86"/>
        <v>1621482000</v>
      </c>
      <c r="G153" s="224">
        <f>+G151</f>
        <v>540406077</v>
      </c>
      <c r="H153" s="224">
        <f>+H151</f>
        <v>105142865</v>
      </c>
      <c r="I153" s="141">
        <f>+G153+H153</f>
        <v>645548942</v>
      </c>
      <c r="J153" s="176">
        <f>+I153/F153</f>
        <v>0.39812279260577671</v>
      </c>
      <c r="K153" s="224">
        <f t="shared" ref="K153:L153" si="87">+K151</f>
        <v>540406077</v>
      </c>
      <c r="L153" s="224">
        <f t="shared" si="87"/>
        <v>105142865</v>
      </c>
      <c r="M153" s="232">
        <f>+K153+L153</f>
        <v>645548942</v>
      </c>
      <c r="N153" s="173">
        <f>+M153/D153</f>
        <v>0.39812279260577671</v>
      </c>
      <c r="O153" s="141">
        <f>+F153-M153</f>
        <v>975933058</v>
      </c>
      <c r="P153" s="208"/>
      <c r="Q153" s="6" t="str">
        <f t="shared" si="85"/>
        <v>OKE</v>
      </c>
      <c r="R153" s="6"/>
    </row>
    <row r="154" spans="1:19" ht="14.1" customHeight="1" x14ac:dyDescent="0.2">
      <c r="A154" s="212"/>
      <c r="B154" s="218"/>
      <c r="C154" s="25"/>
      <c r="D154" s="178"/>
      <c r="E154" s="221"/>
      <c r="F154" s="178"/>
      <c r="G154" s="178"/>
      <c r="H154" s="178"/>
      <c r="I154" s="10"/>
      <c r="J154" s="168"/>
      <c r="K154" s="194"/>
      <c r="L154" s="180"/>
      <c r="M154" s="180"/>
      <c r="N154" s="169"/>
      <c r="O154" s="10"/>
      <c r="P154" s="208"/>
      <c r="Q154" s="6"/>
      <c r="R154" s="6"/>
    </row>
    <row r="155" spans="1:19" ht="26.25" customHeight="1" x14ac:dyDescent="0.2">
      <c r="A155" s="74"/>
      <c r="B155" s="214" t="s">
        <v>304</v>
      </c>
      <c r="C155" s="357" t="s">
        <v>277</v>
      </c>
      <c r="D155" s="178">
        <f>+D157</f>
        <v>176581229</v>
      </c>
      <c r="E155" s="14"/>
      <c r="F155" s="13">
        <f>E155+D155</f>
        <v>176581229</v>
      </c>
      <c r="G155" s="80">
        <f>+maret!I169</f>
        <v>0</v>
      </c>
      <c r="H155" s="178">
        <f>+H157+H160</f>
        <v>0</v>
      </c>
      <c r="I155" s="10">
        <f>+G155+H155</f>
        <v>0</v>
      </c>
      <c r="J155" s="168">
        <f>+I155/F155</f>
        <v>0</v>
      </c>
      <c r="K155" s="178">
        <f>+K157+K160</f>
        <v>0</v>
      </c>
      <c r="L155" s="178">
        <f>+L157+L160</f>
        <v>0</v>
      </c>
      <c r="M155" s="180">
        <f>+K155+L155</f>
        <v>0</v>
      </c>
      <c r="N155" s="169">
        <f>+M155/D155</f>
        <v>0</v>
      </c>
      <c r="O155" s="10">
        <f>+F155-M155</f>
        <v>176581229</v>
      </c>
      <c r="P155" s="83"/>
      <c r="Q155" s="6" t="str">
        <f t="shared" ref="Q155" si="88">IF(M155&lt;=I155,"OKE","Salah")</f>
        <v>OKE</v>
      </c>
      <c r="R155" s="6"/>
    </row>
    <row r="156" spans="1:19" ht="15" customHeight="1" x14ac:dyDescent="0.2">
      <c r="A156" s="74"/>
      <c r="B156" s="74"/>
      <c r="C156" s="76"/>
      <c r="D156" s="15"/>
      <c r="E156" s="15"/>
      <c r="F156" s="15"/>
      <c r="G156" s="80"/>
      <c r="H156" s="79"/>
      <c r="I156" s="80"/>
      <c r="J156" s="86"/>
      <c r="K156" s="80"/>
      <c r="L156" s="76"/>
      <c r="M156" s="76"/>
      <c r="N156" s="86"/>
      <c r="O156" s="10"/>
      <c r="P156" s="83"/>
      <c r="Q156" s="6"/>
      <c r="R156" s="6"/>
    </row>
    <row r="157" spans="1:19" ht="18.75" customHeight="1" x14ac:dyDescent="0.2">
      <c r="A157" s="74">
        <v>7</v>
      </c>
      <c r="B157" s="29" t="s">
        <v>303</v>
      </c>
      <c r="C157" s="27" t="s">
        <v>278</v>
      </c>
      <c r="D157" s="13">
        <v>176581229</v>
      </c>
      <c r="E157" s="14"/>
      <c r="F157" s="13">
        <f>E157+D157</f>
        <v>176581229</v>
      </c>
      <c r="G157" s="80">
        <f>+mei!I171</f>
        <v>0</v>
      </c>
      <c r="H157" s="79">
        <v>0</v>
      </c>
      <c r="I157" s="15">
        <f>+G157+H157</f>
        <v>0</v>
      </c>
      <c r="J157" s="143">
        <f>+I157/F157</f>
        <v>0</v>
      </c>
      <c r="K157" s="80">
        <f>+mei!M171</f>
        <v>0</v>
      </c>
      <c r="L157" s="80">
        <v>0</v>
      </c>
      <c r="M157" s="80">
        <f>+K157+L157</f>
        <v>0</v>
      </c>
      <c r="N157" s="171">
        <f>+M157/D157</f>
        <v>0</v>
      </c>
      <c r="O157" s="15">
        <f>+F157-M157</f>
        <v>176581229</v>
      </c>
      <c r="P157" s="83"/>
      <c r="Q157" s="6" t="str">
        <f t="shared" ref="Q157" si="89">IF(M157&lt;=I157,"OKE","Salah")</f>
        <v>OKE</v>
      </c>
      <c r="R157" s="6"/>
    </row>
    <row r="158" spans="1:19" ht="13.5" customHeight="1" x14ac:dyDescent="0.2">
      <c r="A158" s="74"/>
      <c r="B158" s="29"/>
      <c r="C158" s="27"/>
      <c r="D158" s="13"/>
      <c r="E158" s="14"/>
      <c r="F158" s="13"/>
      <c r="G158" s="78"/>
      <c r="H158" s="79"/>
      <c r="I158" s="15"/>
      <c r="J158" s="143"/>
      <c r="K158" s="78"/>
      <c r="L158" s="80"/>
      <c r="M158" s="80"/>
      <c r="N158" s="171"/>
      <c r="O158" s="15"/>
      <c r="P158" s="83"/>
      <c r="Q158" s="6"/>
      <c r="R158" s="6"/>
    </row>
    <row r="159" spans="1:19" ht="18.75" customHeight="1" x14ac:dyDescent="0.2">
      <c r="A159" s="139"/>
      <c r="B159" s="222"/>
      <c r="C159" s="223" t="s">
        <v>171</v>
      </c>
      <c r="D159" s="224">
        <f>+D157</f>
        <v>176581229</v>
      </c>
      <c r="E159" s="224">
        <f>+E157</f>
        <v>0</v>
      </c>
      <c r="F159" s="224">
        <f>+F157</f>
        <v>176581229</v>
      </c>
      <c r="G159" s="224">
        <f>+G157</f>
        <v>0</v>
      </c>
      <c r="H159" s="224">
        <f>+H157</f>
        <v>0</v>
      </c>
      <c r="I159" s="141">
        <f>+G159+H159</f>
        <v>0</v>
      </c>
      <c r="J159" s="176">
        <f>+I159/F159</f>
        <v>0</v>
      </c>
      <c r="K159" s="224">
        <f>+K157</f>
        <v>0</v>
      </c>
      <c r="L159" s="224">
        <f>+L157</f>
        <v>0</v>
      </c>
      <c r="M159" s="232">
        <f>+K159+L159</f>
        <v>0</v>
      </c>
      <c r="N159" s="173">
        <f>+M159/D159</f>
        <v>0</v>
      </c>
      <c r="O159" s="141">
        <f>+F159-M159</f>
        <v>176581229</v>
      </c>
      <c r="P159" s="208"/>
      <c r="Q159" s="6" t="str">
        <f t="shared" ref="Q159" si="90">IF(M159&lt;=I159,"OKE","Salah")</f>
        <v>OKE</v>
      </c>
      <c r="R159" s="6"/>
    </row>
    <row r="160" spans="1:19" ht="14.1" customHeight="1" x14ac:dyDescent="0.2">
      <c r="A160" s="81"/>
      <c r="B160" s="81"/>
      <c r="C160" s="251"/>
      <c r="D160" s="32"/>
      <c r="E160" s="32"/>
      <c r="F160" s="32"/>
      <c r="G160" s="252"/>
      <c r="H160" s="253"/>
      <c r="I160" s="252"/>
      <c r="J160" s="254"/>
      <c r="K160" s="252"/>
      <c r="L160" s="251"/>
      <c r="M160" s="251"/>
      <c r="N160" s="86"/>
      <c r="O160" s="76"/>
      <c r="P160" s="83"/>
      <c r="Q160" s="6"/>
      <c r="R160" s="6"/>
    </row>
    <row r="161" spans="1:18" ht="14.1" customHeight="1" x14ac:dyDescent="0.2">
      <c r="A161" s="388"/>
      <c r="B161" s="388"/>
      <c r="C161" s="395" t="s">
        <v>137</v>
      </c>
      <c r="D161" s="364">
        <f>+D139+D147+D153+D159</f>
        <v>25693231593</v>
      </c>
      <c r="E161" s="364">
        <v>0</v>
      </c>
      <c r="F161" s="364">
        <f>+D161+E161</f>
        <v>25693231593</v>
      </c>
      <c r="G161" s="455">
        <f>+G139+G147+G153+G159</f>
        <v>12338093351</v>
      </c>
      <c r="H161" s="364">
        <f>+H139+H147+H153+H159</f>
        <v>1686085583</v>
      </c>
      <c r="I161" s="455">
        <f>+I139+I147+I153+I159</f>
        <v>14024178934</v>
      </c>
      <c r="J161" s="398">
        <f>+I161/F161</f>
        <v>0.54583164765544023</v>
      </c>
      <c r="K161" s="455">
        <f>+K139+K147+K159+K153</f>
        <v>12338081651</v>
      </c>
      <c r="L161" s="364">
        <f>+L139+L147+L153+L159</f>
        <v>1686085583</v>
      </c>
      <c r="M161" s="455">
        <f>+K161+L161</f>
        <v>14024167234</v>
      </c>
      <c r="N161" s="405">
        <f>+M161/F161</f>
        <v>0.54583119228259391</v>
      </c>
      <c r="O161" s="402">
        <f>+F161-M161</f>
        <v>11669064359</v>
      </c>
      <c r="P161" s="83"/>
      <c r="Q161" s="6" t="str">
        <f t="shared" ref="Q161:Q162" si="91">IF(M161&lt;=I161,"OKE","Salah")</f>
        <v>OKE</v>
      </c>
      <c r="R161" s="6"/>
    </row>
    <row r="162" spans="1:18" ht="14.1" customHeight="1" x14ac:dyDescent="0.2">
      <c r="A162" s="389"/>
      <c r="B162" s="389"/>
      <c r="C162" s="396"/>
      <c r="D162" s="396"/>
      <c r="E162" s="396"/>
      <c r="F162" s="396"/>
      <c r="G162" s="456"/>
      <c r="H162" s="396"/>
      <c r="I162" s="456"/>
      <c r="J162" s="404"/>
      <c r="K162" s="456"/>
      <c r="L162" s="396"/>
      <c r="M162" s="464"/>
      <c r="N162" s="406"/>
      <c r="O162" s="403"/>
      <c r="P162" s="83"/>
      <c r="Q162" s="6" t="str">
        <f t="shared" si="91"/>
        <v>OKE</v>
      </c>
      <c r="R162" s="6"/>
    </row>
    <row r="163" spans="1:18" ht="15" customHeight="1" x14ac:dyDescent="0.2">
      <c r="A163" s="74"/>
      <c r="B163" s="74"/>
      <c r="C163" s="76"/>
      <c r="D163" s="15"/>
      <c r="E163" s="15"/>
      <c r="F163" s="15"/>
      <c r="G163" s="80"/>
      <c r="H163" s="79"/>
      <c r="I163" s="80"/>
      <c r="J163" s="86"/>
      <c r="K163" s="80"/>
      <c r="L163" s="76"/>
      <c r="M163" s="76"/>
      <c r="N163" s="86"/>
      <c r="O163" s="10"/>
      <c r="P163" s="83"/>
      <c r="Q163" s="6"/>
      <c r="R163" s="6"/>
    </row>
    <row r="164" spans="1:18" ht="15" customHeight="1" x14ac:dyDescent="0.2">
      <c r="A164" s="74"/>
      <c r="B164" s="74"/>
      <c r="C164" s="76"/>
      <c r="D164" s="15"/>
      <c r="E164" s="15"/>
      <c r="F164" s="15"/>
      <c r="G164" s="80"/>
      <c r="H164" s="79"/>
      <c r="I164" s="80"/>
      <c r="J164" s="86"/>
      <c r="K164" s="80"/>
      <c r="L164" s="76"/>
      <c r="M164" s="76"/>
      <c r="N164" s="86"/>
      <c r="O164" s="10"/>
      <c r="P164" s="83"/>
      <c r="Q164" s="6"/>
      <c r="R164" s="6"/>
    </row>
    <row r="165" spans="1:18" ht="15" customHeight="1" x14ac:dyDescent="0.2">
      <c r="A165" s="74"/>
      <c r="B165" s="74"/>
      <c r="C165" s="244" t="s">
        <v>70</v>
      </c>
      <c r="D165" s="15"/>
      <c r="E165" s="15"/>
      <c r="F165" s="15"/>
      <c r="G165" s="80"/>
      <c r="H165" s="79"/>
      <c r="I165" s="80"/>
      <c r="J165" s="86"/>
      <c r="K165" s="80"/>
      <c r="L165" s="76"/>
      <c r="M165" s="76"/>
      <c r="N165" s="86"/>
      <c r="O165" s="10"/>
      <c r="P165" s="83"/>
      <c r="Q165" s="6"/>
      <c r="R165" s="6"/>
    </row>
    <row r="166" spans="1:18" ht="14.1" customHeight="1" x14ac:dyDescent="0.2">
      <c r="A166" s="74"/>
      <c r="B166" s="74"/>
      <c r="C166" s="76"/>
      <c r="D166" s="15"/>
      <c r="E166" s="15"/>
      <c r="F166" s="15"/>
      <c r="G166" s="80"/>
      <c r="H166" s="79"/>
      <c r="I166" s="80"/>
      <c r="J166" s="86"/>
      <c r="K166" s="80"/>
      <c r="L166" s="76"/>
      <c r="M166" s="76"/>
      <c r="N166" s="86"/>
      <c r="O166" s="10"/>
      <c r="P166" s="77"/>
      <c r="Q166" s="6"/>
      <c r="R166" s="6"/>
    </row>
    <row r="167" spans="1:18" ht="24.75" customHeight="1" x14ac:dyDescent="0.2">
      <c r="A167" s="7"/>
      <c r="B167" s="206" t="s">
        <v>154</v>
      </c>
      <c r="C167" s="201" t="s">
        <v>153</v>
      </c>
      <c r="D167" s="10">
        <f>+D169</f>
        <v>1189109400</v>
      </c>
      <c r="E167" s="10">
        <f t="shared" ref="E167:H167" si="92">+E169</f>
        <v>0</v>
      </c>
      <c r="F167" s="10">
        <f t="shared" si="92"/>
        <v>1189109400</v>
      </c>
      <c r="G167" s="10">
        <f t="shared" si="92"/>
        <v>441077320</v>
      </c>
      <c r="H167" s="10">
        <f t="shared" si="92"/>
        <v>97549500</v>
      </c>
      <c r="I167" s="10">
        <f>+G167+H167</f>
        <v>538626820</v>
      </c>
      <c r="J167" s="168">
        <f>+I167/F167</f>
        <v>0.45296658154413716</v>
      </c>
      <c r="K167" s="10">
        <f t="shared" ref="K167:L167" si="93">+K169</f>
        <v>441067320</v>
      </c>
      <c r="L167" s="10">
        <f t="shared" si="93"/>
        <v>97549400</v>
      </c>
      <c r="M167" s="10">
        <f>+K167+L167</f>
        <v>538616720</v>
      </c>
      <c r="N167" s="169">
        <f>+M167/F167</f>
        <v>0.45295808779242686</v>
      </c>
      <c r="O167" s="10">
        <f>+F167-M167</f>
        <v>650492680</v>
      </c>
      <c r="P167" s="77"/>
      <c r="Q167" s="6" t="str">
        <f t="shared" ref="Q167" si="94">IF(M167&lt;=I167,"OKE","Salah")</f>
        <v>OKE</v>
      </c>
      <c r="R167" s="6"/>
    </row>
    <row r="168" spans="1:18" ht="14.1" customHeight="1" x14ac:dyDescent="0.2">
      <c r="A168" s="74"/>
      <c r="B168" s="74"/>
      <c r="C168" s="76"/>
      <c r="D168" s="15"/>
      <c r="E168" s="15"/>
      <c r="F168" s="15"/>
      <c r="G168" s="80"/>
      <c r="H168" s="79"/>
      <c r="I168" s="80"/>
      <c r="J168" s="86"/>
      <c r="K168" s="80"/>
      <c r="L168" s="76"/>
      <c r="M168" s="76"/>
      <c r="N168" s="86"/>
      <c r="O168" s="10"/>
      <c r="P168" s="77"/>
      <c r="Q168" s="6"/>
      <c r="R168" s="6"/>
    </row>
    <row r="169" spans="1:18" ht="18" customHeight="1" x14ac:dyDescent="0.2">
      <c r="A169" s="74"/>
      <c r="B169" s="95" t="s">
        <v>212</v>
      </c>
      <c r="C169" s="25" t="s">
        <v>213</v>
      </c>
      <c r="D169" s="178">
        <f>SUM(D171:D177)</f>
        <v>1189109400</v>
      </c>
      <c r="E169" s="14"/>
      <c r="F169" s="178">
        <f>E169+D169</f>
        <v>1189109400</v>
      </c>
      <c r="G169" s="178">
        <f>SUM(G171:G177)</f>
        <v>441077320</v>
      </c>
      <c r="H169" s="178">
        <f>SUM(H171:H177)</f>
        <v>97549500</v>
      </c>
      <c r="I169" s="10">
        <f>H169+G169</f>
        <v>538626820</v>
      </c>
      <c r="J169" s="168">
        <f>+I169/F169</f>
        <v>0.45296658154413716</v>
      </c>
      <c r="K169" s="178">
        <f>SUM(K171:K177)</f>
        <v>441067320</v>
      </c>
      <c r="L169" s="178">
        <f>SUM(L171:L177)</f>
        <v>97549400</v>
      </c>
      <c r="M169" s="180">
        <f>+K169+L169</f>
        <v>538616720</v>
      </c>
      <c r="N169" s="169">
        <f>+M169/F169</f>
        <v>0.45295808779242686</v>
      </c>
      <c r="O169" s="10">
        <f>+F169-M169</f>
        <v>650492680</v>
      </c>
      <c r="P169" s="77"/>
      <c r="Q169" s="6" t="str">
        <f t="shared" ref="Q169" si="95">IF(M169&lt;=I169,"OKE","Salah")</f>
        <v>OKE</v>
      </c>
      <c r="R169" s="6"/>
    </row>
    <row r="170" spans="1:18" ht="15.75" customHeight="1" x14ac:dyDescent="0.2">
      <c r="A170" s="74"/>
      <c r="B170" s="95"/>
      <c r="C170" s="27"/>
      <c r="D170" s="13"/>
      <c r="E170" s="14"/>
      <c r="F170" s="13"/>
      <c r="G170" s="78"/>
      <c r="H170" s="79"/>
      <c r="I170" s="15"/>
      <c r="J170" s="143"/>
      <c r="K170" s="80"/>
      <c r="L170" s="80"/>
      <c r="M170" s="80"/>
      <c r="N170" s="171"/>
      <c r="O170" s="15"/>
      <c r="P170" s="77"/>
      <c r="Q170" s="6"/>
      <c r="R170" s="6"/>
    </row>
    <row r="171" spans="1:18" ht="14.1" customHeight="1" x14ac:dyDescent="0.2">
      <c r="A171" s="74">
        <v>1</v>
      </c>
      <c r="B171" s="95" t="s">
        <v>215</v>
      </c>
      <c r="C171" s="27" t="s">
        <v>214</v>
      </c>
      <c r="D171" s="13">
        <v>206216100</v>
      </c>
      <c r="E171" s="14"/>
      <c r="F171" s="13">
        <f>E171+D171</f>
        <v>206216100</v>
      </c>
      <c r="G171" s="80">
        <f>+juni!I184</f>
        <v>98575520</v>
      </c>
      <c r="H171" s="79">
        <v>9935000</v>
      </c>
      <c r="I171" s="15">
        <f>H171+G171</f>
        <v>108510520</v>
      </c>
      <c r="J171" s="143">
        <f>+I171/F171</f>
        <v>0.52619809995436828</v>
      </c>
      <c r="K171" s="80">
        <f>+juni!M184</f>
        <v>98575520</v>
      </c>
      <c r="L171" s="79">
        <v>9935000</v>
      </c>
      <c r="M171" s="80">
        <f>+K171+L171</f>
        <v>108510520</v>
      </c>
      <c r="N171" s="171">
        <f>+M171/F171</f>
        <v>0.52619809995436828</v>
      </c>
      <c r="O171" s="15">
        <f>+F171-M171</f>
        <v>97705580</v>
      </c>
      <c r="P171" s="77"/>
      <c r="Q171" s="6" t="str">
        <f t="shared" ref="Q171" si="96">IF(M171&lt;=I171,"OKE","Salah")</f>
        <v>OKE</v>
      </c>
      <c r="R171" s="6"/>
    </row>
    <row r="172" spans="1:18" ht="15.75" customHeight="1" x14ac:dyDescent="0.2">
      <c r="A172" s="74"/>
      <c r="B172" s="95"/>
      <c r="C172" s="27"/>
      <c r="D172" s="13"/>
      <c r="E172" s="14"/>
      <c r="F172" s="13"/>
      <c r="G172" s="78"/>
      <c r="H172" s="79"/>
      <c r="I172" s="15"/>
      <c r="J172" s="143"/>
      <c r="K172" s="80"/>
      <c r="L172" s="80"/>
      <c r="M172" s="80"/>
      <c r="N172" s="171"/>
      <c r="O172" s="15"/>
      <c r="P172" s="77"/>
      <c r="Q172" s="6"/>
      <c r="R172" s="6"/>
    </row>
    <row r="173" spans="1:18" ht="14.1" customHeight="1" x14ac:dyDescent="0.2">
      <c r="A173" s="74">
        <v>2</v>
      </c>
      <c r="B173" s="95" t="s">
        <v>217</v>
      </c>
      <c r="C173" s="27" t="s">
        <v>216</v>
      </c>
      <c r="D173" s="13">
        <v>615087000</v>
      </c>
      <c r="E173" s="14"/>
      <c r="F173" s="13">
        <f>E173+D173</f>
        <v>615087000</v>
      </c>
      <c r="G173" s="80">
        <f>+juni!I186</f>
        <v>250882500</v>
      </c>
      <c r="H173" s="79">
        <f>12558000+15917600+21450000</f>
        <v>49925600</v>
      </c>
      <c r="I173" s="15">
        <f>H173+G173</f>
        <v>300808100</v>
      </c>
      <c r="J173" s="143">
        <f>+I173/F173</f>
        <v>0.48904967915107944</v>
      </c>
      <c r="K173" s="80">
        <f>+juni!M186</f>
        <v>250872500</v>
      </c>
      <c r="L173" s="80">
        <f>12558000+21450000+15917500</f>
        <v>49925500</v>
      </c>
      <c r="M173" s="80">
        <f>+K173+L173</f>
        <v>300798000</v>
      </c>
      <c r="N173" s="171">
        <f>+M173/F173</f>
        <v>0.48903325870974351</v>
      </c>
      <c r="O173" s="15">
        <f>+F173-M173</f>
        <v>314289000</v>
      </c>
      <c r="P173" s="77"/>
      <c r="Q173" s="6" t="str">
        <f t="shared" ref="Q173" si="97">IF(M173&lt;=I173,"OKE","Salah")</f>
        <v>OKE</v>
      </c>
      <c r="R173" s="6"/>
    </row>
    <row r="174" spans="1:18" ht="17.25" customHeight="1" x14ac:dyDescent="0.2">
      <c r="A174" s="74"/>
      <c r="B174" s="95"/>
      <c r="C174" s="27"/>
      <c r="D174" s="13"/>
      <c r="E174" s="14"/>
      <c r="F174" s="13"/>
      <c r="G174" s="78"/>
      <c r="H174" s="79"/>
      <c r="I174" s="15"/>
      <c r="J174" s="143"/>
      <c r="K174" s="80"/>
      <c r="L174" s="80"/>
      <c r="M174" s="80"/>
      <c r="N174" s="171"/>
      <c r="O174" s="15"/>
      <c r="P174" s="77"/>
      <c r="Q174" s="6"/>
      <c r="R174" s="6"/>
    </row>
    <row r="175" spans="1:18" ht="14.1" customHeight="1" x14ac:dyDescent="0.2">
      <c r="A175" s="74">
        <v>3</v>
      </c>
      <c r="B175" s="95" t="s">
        <v>219</v>
      </c>
      <c r="C175" s="27" t="s">
        <v>218</v>
      </c>
      <c r="D175" s="13">
        <v>257443800</v>
      </c>
      <c r="E175" s="14"/>
      <c r="F175" s="13">
        <f>E175+D175</f>
        <v>257443800</v>
      </c>
      <c r="G175" s="80">
        <f>+juni!I188</f>
        <v>57896800</v>
      </c>
      <c r="H175" s="79">
        <f>14341900+3500000+14300000</f>
        <v>32141900</v>
      </c>
      <c r="I175" s="15">
        <f>H175+G175</f>
        <v>90038700</v>
      </c>
      <c r="J175" s="143">
        <f>+I175/F175</f>
        <v>0.34974118623171346</v>
      </c>
      <c r="K175" s="80">
        <f>+juni!M188</f>
        <v>57896800</v>
      </c>
      <c r="L175" s="80">
        <f>14300000+3500000+14341900</f>
        <v>32141900</v>
      </c>
      <c r="M175" s="80">
        <f>+K175+L175</f>
        <v>90038700</v>
      </c>
      <c r="N175" s="171">
        <f>+M175/F175</f>
        <v>0.34974118623171346</v>
      </c>
      <c r="O175" s="15">
        <f>+F175-M175</f>
        <v>167405100</v>
      </c>
      <c r="P175" s="77"/>
      <c r="Q175" s="6" t="str">
        <f t="shared" ref="Q175" si="98">IF(M175&lt;=I175,"OKE","Salah")</f>
        <v>OKE</v>
      </c>
      <c r="R175" s="6"/>
    </row>
    <row r="176" spans="1:18" ht="17.25" customHeight="1" x14ac:dyDescent="0.2">
      <c r="A176" s="74"/>
      <c r="B176" s="95"/>
      <c r="C176" s="27"/>
      <c r="D176" s="13"/>
      <c r="E176" s="14"/>
      <c r="F176" s="13"/>
      <c r="G176" s="78"/>
      <c r="H176" s="79"/>
      <c r="I176" s="15"/>
      <c r="J176" s="143"/>
      <c r="K176" s="80"/>
      <c r="L176" s="80"/>
      <c r="M176" s="80"/>
      <c r="N176" s="171"/>
      <c r="O176" s="15"/>
      <c r="P176" s="77"/>
      <c r="Q176" s="6"/>
      <c r="R176" s="6"/>
    </row>
    <row r="177" spans="1:18" ht="27.75" customHeight="1" x14ac:dyDescent="0.2">
      <c r="A177" s="205">
        <v>4</v>
      </c>
      <c r="B177" s="220" t="s">
        <v>221</v>
      </c>
      <c r="C177" s="219" t="s">
        <v>220</v>
      </c>
      <c r="D177" s="213">
        <v>110362500</v>
      </c>
      <c r="E177" s="14"/>
      <c r="F177" s="13">
        <f>E177+D177</f>
        <v>110362500</v>
      </c>
      <c r="G177" s="80">
        <f>+juni!I190</f>
        <v>33722500</v>
      </c>
      <c r="H177" s="79">
        <v>5547000</v>
      </c>
      <c r="I177" s="15">
        <f>H177+G177</f>
        <v>39269500</v>
      </c>
      <c r="J177" s="143">
        <f>+I177/F177</f>
        <v>0.35582285649563938</v>
      </c>
      <c r="K177" s="80">
        <f>+juni!M190</f>
        <v>33722500</v>
      </c>
      <c r="L177" s="80">
        <v>5547000</v>
      </c>
      <c r="M177" s="80">
        <f>+K177+L177</f>
        <v>39269500</v>
      </c>
      <c r="N177" s="171">
        <f>+M177/F177</f>
        <v>0.35582285649563938</v>
      </c>
      <c r="O177" s="15">
        <f>+F177-M177</f>
        <v>71093000</v>
      </c>
      <c r="P177" s="77"/>
      <c r="Q177" s="6" t="str">
        <f t="shared" ref="Q177" si="99">IF(M177&lt;=I177,"OKE","Salah")</f>
        <v>OKE</v>
      </c>
      <c r="R177" s="6"/>
    </row>
    <row r="178" spans="1:18" ht="14.1" customHeight="1" x14ac:dyDescent="0.2">
      <c r="A178" s="139"/>
      <c r="B178" s="139"/>
      <c r="C178" s="140"/>
      <c r="D178" s="142"/>
      <c r="E178" s="142"/>
      <c r="F178" s="142"/>
      <c r="G178" s="188"/>
      <c r="H178" s="246"/>
      <c r="I178" s="188"/>
      <c r="J178" s="247"/>
      <c r="K178" s="188"/>
      <c r="L178" s="245"/>
      <c r="M178" s="245"/>
      <c r="N178" s="247"/>
      <c r="O178" s="141"/>
      <c r="P178" s="77"/>
      <c r="Q178" s="6"/>
      <c r="R178" s="6"/>
    </row>
    <row r="179" spans="1:18" ht="14.1" customHeight="1" x14ac:dyDescent="0.2">
      <c r="A179" s="388"/>
      <c r="B179" s="388"/>
      <c r="C179" s="395" t="s">
        <v>72</v>
      </c>
      <c r="D179" s="364">
        <f>SUM(D171:D177)</f>
        <v>1189109400</v>
      </c>
      <c r="E179" s="364">
        <f>SUM(E171:E177)</f>
        <v>0</v>
      </c>
      <c r="F179" s="364">
        <f>SUM(F171:F177)</f>
        <v>1189109400</v>
      </c>
      <c r="G179" s="364">
        <f>SUM(G171:G177)</f>
        <v>441077320</v>
      </c>
      <c r="H179" s="364">
        <f>SUM(H171:H177)</f>
        <v>97549500</v>
      </c>
      <c r="I179" s="364">
        <f>G179+H179</f>
        <v>538626820</v>
      </c>
      <c r="J179" s="368">
        <f>+I179/F179</f>
        <v>0.45296658154413716</v>
      </c>
      <c r="K179" s="364">
        <f>SUM(K171:K177)</f>
        <v>441067320</v>
      </c>
      <c r="L179" s="364">
        <f>SUM(L171:L177)</f>
        <v>97549400</v>
      </c>
      <c r="M179" s="364">
        <f>+K179+L179</f>
        <v>538616720</v>
      </c>
      <c r="N179" s="366">
        <f>+M179/F179</f>
        <v>0.45295808779242686</v>
      </c>
      <c r="O179" s="364">
        <f>+F179-M179</f>
        <v>650492680</v>
      </c>
      <c r="P179" s="77"/>
      <c r="Q179" s="6" t="str">
        <f t="shared" ref="Q179:Q226" si="100">IF(M179&lt;=I179,"OKE","Salah")</f>
        <v>OKE</v>
      </c>
      <c r="R179" s="6"/>
    </row>
    <row r="180" spans="1:18" ht="14.1" customHeight="1" x14ac:dyDescent="0.2">
      <c r="A180" s="389"/>
      <c r="B180" s="389"/>
      <c r="C180" s="396"/>
      <c r="D180" s="365"/>
      <c r="E180" s="365"/>
      <c r="F180" s="365"/>
      <c r="G180" s="365"/>
      <c r="H180" s="365"/>
      <c r="I180" s="396"/>
      <c r="J180" s="369"/>
      <c r="K180" s="365"/>
      <c r="L180" s="365"/>
      <c r="M180" s="365"/>
      <c r="N180" s="367"/>
      <c r="O180" s="365"/>
      <c r="P180" s="77"/>
      <c r="Q180" s="6" t="str">
        <f t="shared" si="100"/>
        <v>OKE</v>
      </c>
      <c r="R180" s="6"/>
    </row>
    <row r="181" spans="1:18" ht="14.45" customHeight="1" x14ac:dyDescent="0.2">
      <c r="A181" s="74"/>
      <c r="B181" s="76"/>
      <c r="C181" s="76"/>
      <c r="D181" s="8"/>
      <c r="E181" s="8"/>
      <c r="F181" s="8"/>
      <c r="G181" s="76"/>
      <c r="H181" s="82"/>
      <c r="I181" s="76"/>
      <c r="J181" s="86"/>
      <c r="K181" s="76"/>
      <c r="L181" s="76"/>
      <c r="M181" s="76"/>
      <c r="N181" s="248"/>
      <c r="O181" s="241"/>
      <c r="P181" s="77"/>
      <c r="Q181" s="6"/>
      <c r="R181" s="6"/>
    </row>
    <row r="182" spans="1:18" ht="17.100000000000001" customHeight="1" x14ac:dyDescent="0.2">
      <c r="A182" s="74"/>
      <c r="B182" s="76"/>
      <c r="C182" s="244" t="s">
        <v>73</v>
      </c>
      <c r="D182" s="8"/>
      <c r="E182" s="8"/>
      <c r="F182" s="8"/>
      <c r="G182" s="76"/>
      <c r="H182" s="82"/>
      <c r="I182" s="76"/>
      <c r="J182" s="86"/>
      <c r="K182" s="76"/>
      <c r="L182" s="76"/>
      <c r="M182" s="76"/>
      <c r="N182" s="86"/>
      <c r="O182" s="76"/>
      <c r="P182" s="77"/>
      <c r="Q182" s="6"/>
      <c r="R182" s="6"/>
    </row>
    <row r="183" spans="1:18" ht="14.25" customHeight="1" x14ac:dyDescent="0.2">
      <c r="A183" s="74"/>
      <c r="B183" s="76"/>
      <c r="C183" s="76"/>
      <c r="D183" s="8"/>
      <c r="E183" s="8"/>
      <c r="F183" s="8"/>
      <c r="G183" s="76"/>
      <c r="H183" s="82"/>
      <c r="I183" s="76"/>
      <c r="J183" s="86"/>
      <c r="K183" s="76"/>
      <c r="L183" s="76"/>
      <c r="M183" s="76"/>
      <c r="N183" s="86"/>
      <c r="O183" s="76"/>
      <c r="P183" s="77"/>
      <c r="Q183" s="6"/>
      <c r="R183" s="6"/>
    </row>
    <row r="184" spans="1:18" ht="27" customHeight="1" x14ac:dyDescent="0.2">
      <c r="A184" s="7"/>
      <c r="B184" s="206" t="s">
        <v>154</v>
      </c>
      <c r="C184" s="201" t="s">
        <v>153</v>
      </c>
      <c r="D184" s="10">
        <f>+D192+D200+D220+D228+D244+D186+D238</f>
        <v>12324425000</v>
      </c>
      <c r="E184" s="10">
        <f>+E192+E200+E220+E228+E244</f>
        <v>0</v>
      </c>
      <c r="F184" s="10">
        <f>+D184+E184</f>
        <v>12324425000</v>
      </c>
      <c r="G184" s="312">
        <f>+G192+G200+G220+G228+G238+G244</f>
        <v>5883332060</v>
      </c>
      <c r="H184" s="10">
        <f>+H192+H200+H220+H228+H238+H244</f>
        <v>1164330353</v>
      </c>
      <c r="I184" s="10">
        <f>+G184+H184</f>
        <v>7047662413</v>
      </c>
      <c r="J184" s="168">
        <f>+I184/F184</f>
        <v>0.57184512973221879</v>
      </c>
      <c r="K184" s="312">
        <f>+K192+K200+K220+K228+K244</f>
        <v>5434564965</v>
      </c>
      <c r="L184" s="10">
        <f>+L192+L200+L220+L228+L244</f>
        <v>1091526415</v>
      </c>
      <c r="M184" s="10">
        <f>+K184+L184</f>
        <v>6526091380</v>
      </c>
      <c r="N184" s="169">
        <f>+M184/F184</f>
        <v>0.52952501881426517</v>
      </c>
      <c r="O184" s="10">
        <f>+F184-M184</f>
        <v>5798333620</v>
      </c>
      <c r="P184" s="77"/>
      <c r="Q184" s="6" t="str">
        <f t="shared" ref="Q184:Q192" si="101">IF(M184&lt;=I184,"OKE","Salah")</f>
        <v>OKE</v>
      </c>
      <c r="R184" s="6"/>
    </row>
    <row r="185" spans="1:18" ht="15" customHeight="1" x14ac:dyDescent="0.2">
      <c r="A185" s="7"/>
      <c r="B185" s="206"/>
      <c r="C185" s="305"/>
      <c r="D185" s="10"/>
      <c r="E185" s="296"/>
      <c r="F185" s="10"/>
      <c r="G185" s="10"/>
      <c r="H185" s="10"/>
      <c r="I185" s="10"/>
      <c r="J185" s="168"/>
      <c r="K185" s="10"/>
      <c r="L185" s="10"/>
      <c r="M185" s="10"/>
      <c r="N185" s="169"/>
      <c r="O185" s="10"/>
      <c r="P185" s="77"/>
      <c r="Q185" s="6"/>
      <c r="R185" s="6"/>
    </row>
    <row r="186" spans="1:18" ht="29.25" customHeight="1" x14ac:dyDescent="0.2">
      <c r="A186" s="74"/>
      <c r="B186" s="214" t="s">
        <v>199</v>
      </c>
      <c r="C186" s="301" t="s">
        <v>198</v>
      </c>
      <c r="D186" s="178">
        <f>+D188</f>
        <v>144000000</v>
      </c>
      <c r="E186" s="14"/>
      <c r="F186" s="178">
        <f>E186+D186</f>
        <v>144000000</v>
      </c>
      <c r="G186" s="178">
        <f>+G188</f>
        <v>0</v>
      </c>
      <c r="H186" s="178">
        <f>+H188</f>
        <v>136000000</v>
      </c>
      <c r="I186" s="15">
        <f>+G186+H186</f>
        <v>136000000</v>
      </c>
      <c r="J186" s="143">
        <f>+I186/F186</f>
        <v>0.94444444444444442</v>
      </c>
      <c r="K186" s="178">
        <f t="shared" ref="K186:L186" si="102">+K188</f>
        <v>0</v>
      </c>
      <c r="L186" s="178">
        <f t="shared" si="102"/>
        <v>136000000</v>
      </c>
      <c r="M186" s="80">
        <f>+K186+L186</f>
        <v>136000000</v>
      </c>
      <c r="N186" s="171">
        <f>+M186/D186</f>
        <v>0.94444444444444442</v>
      </c>
      <c r="O186" s="15">
        <f>+F186-M186</f>
        <v>8000000</v>
      </c>
      <c r="P186" s="83"/>
      <c r="Q186" s="6" t="str">
        <f t="shared" ref="Q186" si="103">IF(M186&lt;=I186,"OKE","Salah")</f>
        <v>OKE</v>
      </c>
      <c r="R186" s="6"/>
    </row>
    <row r="187" spans="1:18" ht="15" customHeight="1" x14ac:dyDescent="0.2">
      <c r="A187" s="74"/>
      <c r="B187" s="74"/>
      <c r="C187" s="76"/>
      <c r="D187" s="15"/>
      <c r="E187" s="15"/>
      <c r="F187" s="15"/>
      <c r="G187" s="80"/>
      <c r="H187" s="79"/>
      <c r="I187" s="80"/>
      <c r="J187" s="86"/>
      <c r="K187" s="80"/>
      <c r="L187" s="76"/>
      <c r="M187" s="76"/>
      <c r="N187" s="86"/>
      <c r="O187" s="10"/>
      <c r="P187" s="83"/>
      <c r="Q187" s="6"/>
      <c r="R187" s="6"/>
    </row>
    <row r="188" spans="1:18" ht="21" customHeight="1" x14ac:dyDescent="0.2">
      <c r="A188" s="74">
        <v>1</v>
      </c>
      <c r="B188" s="29" t="s">
        <v>201</v>
      </c>
      <c r="C188" s="27" t="s">
        <v>200</v>
      </c>
      <c r="D188" s="13">
        <v>144000000</v>
      </c>
      <c r="E188" s="14"/>
      <c r="F188" s="13">
        <f>E188+D188</f>
        <v>144000000</v>
      </c>
      <c r="G188" s="80">
        <v>0</v>
      </c>
      <c r="H188" s="79">
        <v>136000000</v>
      </c>
      <c r="I188" s="15">
        <f>+G188+H188</f>
        <v>136000000</v>
      </c>
      <c r="J188" s="143">
        <f>+I188/F188</f>
        <v>0.94444444444444442</v>
      </c>
      <c r="K188" s="80">
        <v>0</v>
      </c>
      <c r="L188" s="80">
        <v>136000000</v>
      </c>
      <c r="M188" s="80">
        <f>+K188+L188</f>
        <v>136000000</v>
      </c>
      <c r="N188" s="171">
        <f>+M188/D188</f>
        <v>0.94444444444444442</v>
      </c>
      <c r="O188" s="15">
        <f t="shared" ref="O188" si="104">+D188-M188</f>
        <v>8000000</v>
      </c>
      <c r="P188" s="83"/>
      <c r="Q188" s="6" t="str">
        <f t="shared" ref="Q188" si="105">IF(M188&lt;=I188,"OKE","Salah")</f>
        <v>OKE</v>
      </c>
      <c r="R188" s="6"/>
    </row>
    <row r="189" spans="1:18" ht="15" customHeight="1" x14ac:dyDescent="0.2">
      <c r="A189" s="74"/>
      <c r="B189" s="29"/>
      <c r="C189" s="27"/>
      <c r="D189" s="13"/>
      <c r="E189" s="14"/>
      <c r="F189" s="13"/>
      <c r="G189" s="78"/>
      <c r="H189" s="79"/>
      <c r="I189" s="15"/>
      <c r="J189" s="143"/>
      <c r="K189" s="78"/>
      <c r="L189" s="80"/>
      <c r="M189" s="80"/>
      <c r="N189" s="171"/>
      <c r="O189" s="15"/>
      <c r="P189" s="83"/>
      <c r="Q189" s="6"/>
      <c r="R189" s="6"/>
    </row>
    <row r="190" spans="1:18" ht="21" customHeight="1" x14ac:dyDescent="0.2">
      <c r="A190" s="139"/>
      <c r="B190" s="222"/>
      <c r="C190" s="223" t="s">
        <v>171</v>
      </c>
      <c r="D190" s="224">
        <f>+D188</f>
        <v>144000000</v>
      </c>
      <c r="E190" s="225"/>
      <c r="F190" s="224">
        <f>+F188</f>
        <v>144000000</v>
      </c>
      <c r="G190" s="224">
        <f>+G188</f>
        <v>0</v>
      </c>
      <c r="H190" s="224">
        <f>+H188</f>
        <v>136000000</v>
      </c>
      <c r="I190" s="141">
        <f>+G190+H190</f>
        <v>136000000</v>
      </c>
      <c r="J190" s="176">
        <f>+I190/F190</f>
        <v>0.94444444444444442</v>
      </c>
      <c r="K190" s="224">
        <f t="shared" ref="K190:L190" si="106">+K188</f>
        <v>0</v>
      </c>
      <c r="L190" s="224">
        <f t="shared" si="106"/>
        <v>136000000</v>
      </c>
      <c r="M190" s="232">
        <f>+K190+L190</f>
        <v>136000000</v>
      </c>
      <c r="N190" s="173"/>
      <c r="O190" s="141"/>
      <c r="P190" s="208"/>
      <c r="Q190" s="6"/>
      <c r="R190" s="6"/>
    </row>
    <row r="191" spans="1:18" ht="15" customHeight="1" x14ac:dyDescent="0.2">
      <c r="A191" s="7"/>
      <c r="B191" s="206"/>
      <c r="C191" s="305"/>
      <c r="D191" s="10"/>
      <c r="E191" s="296"/>
      <c r="F191" s="10"/>
      <c r="G191" s="10"/>
      <c r="H191" s="10"/>
      <c r="I191" s="10"/>
      <c r="J191" s="168"/>
      <c r="K191" s="10"/>
      <c r="L191" s="10"/>
      <c r="M191" s="10"/>
      <c r="N191" s="169"/>
      <c r="O191" s="10"/>
      <c r="P191" s="77"/>
      <c r="Q191" s="6"/>
      <c r="R191" s="6"/>
    </row>
    <row r="192" spans="1:18" ht="15" customHeight="1" x14ac:dyDescent="0.2">
      <c r="A192" s="212"/>
      <c r="B192" s="7" t="s">
        <v>160</v>
      </c>
      <c r="C192" s="208" t="s">
        <v>315</v>
      </c>
      <c r="D192" s="178">
        <f>+D194+D196</f>
        <v>164975000</v>
      </c>
      <c r="E192" s="221"/>
      <c r="F192" s="178">
        <f>+D192+E192</f>
        <v>164975000</v>
      </c>
      <c r="G192" s="178">
        <f t="shared" ref="G192:H192" si="107">+G194+G196</f>
        <v>128655000</v>
      </c>
      <c r="H192" s="178">
        <f t="shared" si="107"/>
        <v>0</v>
      </c>
      <c r="I192" s="10">
        <f>+G192+H192</f>
        <v>128655000</v>
      </c>
      <c r="J192" s="168">
        <f>+I192/F192</f>
        <v>0.77984543112592819</v>
      </c>
      <c r="K192" s="178">
        <f t="shared" ref="K192:L192" si="108">+K194+K196</f>
        <v>128655000</v>
      </c>
      <c r="L192" s="178">
        <f t="shared" si="108"/>
        <v>0</v>
      </c>
      <c r="M192" s="10">
        <f>+K192+L192</f>
        <v>128655000</v>
      </c>
      <c r="N192" s="169">
        <f>+M192/F192</f>
        <v>0.77984543112592819</v>
      </c>
      <c r="O192" s="10">
        <f>+F192-M192</f>
        <v>36320000</v>
      </c>
      <c r="P192" s="77"/>
      <c r="Q192" s="6" t="str">
        <f t="shared" si="101"/>
        <v>OKE</v>
      </c>
      <c r="R192" s="6"/>
    </row>
    <row r="193" spans="1:19" ht="15" customHeight="1" x14ac:dyDescent="0.2">
      <c r="A193" s="74"/>
      <c r="B193" s="74"/>
      <c r="C193" s="76"/>
      <c r="D193" s="15"/>
      <c r="E193" s="17"/>
      <c r="F193" s="15"/>
      <c r="G193" s="78"/>
      <c r="H193" s="79"/>
      <c r="I193" s="80"/>
      <c r="J193" s="86"/>
      <c r="K193" s="78"/>
      <c r="L193" s="76"/>
      <c r="M193" s="76"/>
      <c r="N193" s="86"/>
      <c r="O193" s="10"/>
      <c r="P193" s="77"/>
      <c r="Q193" s="6"/>
      <c r="R193" s="6"/>
    </row>
    <row r="194" spans="1:19" ht="26.25" customHeight="1" x14ac:dyDescent="0.2">
      <c r="A194" s="74">
        <v>2</v>
      </c>
      <c r="B194" s="28" t="s">
        <v>164</v>
      </c>
      <c r="C194" s="304" t="s">
        <v>316</v>
      </c>
      <c r="D194" s="13">
        <v>139975000</v>
      </c>
      <c r="E194" s="14"/>
      <c r="F194" s="13">
        <f>+D194+E194</f>
        <v>139975000</v>
      </c>
      <c r="G194" s="80">
        <f>+juni!I201</f>
        <v>126405000</v>
      </c>
      <c r="H194" s="79">
        <v>0</v>
      </c>
      <c r="I194" s="15">
        <f>+G194+H194</f>
        <v>126405000</v>
      </c>
      <c r="J194" s="143">
        <f>+I194/F194</f>
        <v>0.90305411680657255</v>
      </c>
      <c r="K194" s="80">
        <f>+juni!M201</f>
        <v>126405000</v>
      </c>
      <c r="L194" s="80">
        <v>0</v>
      </c>
      <c r="M194" s="80">
        <f>+K194+L194</f>
        <v>126405000</v>
      </c>
      <c r="N194" s="171">
        <f>+M194/F194</f>
        <v>0.90305411680657255</v>
      </c>
      <c r="O194" s="15">
        <f>+F194-M194</f>
        <v>13570000</v>
      </c>
      <c r="P194" s="77"/>
      <c r="Q194" s="6" t="str">
        <f t="shared" ref="Q194" si="109">IF(M194&lt;=I194,"OKE","Salah")</f>
        <v>OKE</v>
      </c>
      <c r="R194" s="6"/>
    </row>
    <row r="195" spans="1:19" ht="15" customHeight="1" x14ac:dyDescent="0.2">
      <c r="A195" s="74"/>
      <c r="B195" s="74"/>
      <c r="C195" s="83"/>
      <c r="D195" s="15"/>
      <c r="E195" s="17"/>
      <c r="F195" s="15"/>
      <c r="G195" s="78"/>
      <c r="H195" s="79"/>
      <c r="I195" s="80"/>
      <c r="J195" s="86"/>
      <c r="K195" s="78"/>
      <c r="L195" s="76"/>
      <c r="M195" s="76"/>
      <c r="N195" s="86"/>
      <c r="O195" s="10"/>
      <c r="P195" s="77"/>
      <c r="Q195" s="6"/>
      <c r="R195" s="6"/>
    </row>
    <row r="196" spans="1:19" ht="26.25" customHeight="1" x14ac:dyDescent="0.2">
      <c r="A196" s="74">
        <v>3</v>
      </c>
      <c r="B196" s="28" t="s">
        <v>165</v>
      </c>
      <c r="C196" s="304" t="s">
        <v>317</v>
      </c>
      <c r="D196" s="13">
        <v>25000000</v>
      </c>
      <c r="E196" s="14"/>
      <c r="F196" s="13">
        <f>+D196+E196</f>
        <v>25000000</v>
      </c>
      <c r="G196" s="80">
        <f>+juni!I203</f>
        <v>2250000</v>
      </c>
      <c r="H196" s="79">
        <v>0</v>
      </c>
      <c r="I196" s="15">
        <f>+G196+H196</f>
        <v>2250000</v>
      </c>
      <c r="J196" s="143">
        <f>+I196/F196</f>
        <v>0.09</v>
      </c>
      <c r="K196" s="80">
        <f>+juni!M203</f>
        <v>2250000</v>
      </c>
      <c r="L196" s="80">
        <v>0</v>
      </c>
      <c r="M196" s="80">
        <f>+K196+L196</f>
        <v>2250000</v>
      </c>
      <c r="N196" s="171">
        <f>+M196/F196</f>
        <v>0.09</v>
      </c>
      <c r="O196" s="15">
        <f>+F196-M196</f>
        <v>22750000</v>
      </c>
      <c r="P196" s="77"/>
      <c r="Q196" s="6" t="str">
        <f t="shared" ref="Q196" si="110">IF(M196&lt;=I196,"OKE","Salah")</f>
        <v>OKE</v>
      </c>
      <c r="R196" s="6"/>
    </row>
    <row r="197" spans="1:19" ht="15" customHeight="1" x14ac:dyDescent="0.2">
      <c r="A197" s="74"/>
      <c r="B197" s="28"/>
      <c r="C197" s="304"/>
      <c r="D197" s="13"/>
      <c r="E197" s="14"/>
      <c r="F197" s="13"/>
      <c r="G197" s="78"/>
      <c r="H197" s="79"/>
      <c r="I197" s="15"/>
      <c r="J197" s="143"/>
      <c r="K197" s="78"/>
      <c r="L197" s="80"/>
      <c r="M197" s="80"/>
      <c r="N197" s="171"/>
      <c r="O197" s="15"/>
      <c r="P197" s="77"/>
      <c r="Q197" s="6"/>
      <c r="R197" s="6"/>
    </row>
    <row r="198" spans="1:19" ht="24" customHeight="1" x14ac:dyDescent="0.2">
      <c r="A198" s="81"/>
      <c r="B198" s="81"/>
      <c r="C198" s="23" t="s">
        <v>172</v>
      </c>
      <c r="D198" s="24">
        <f>+D194+D196</f>
        <v>164975000</v>
      </c>
      <c r="E198" s="24">
        <f t="shared" ref="E198" si="111">+E194+E196</f>
        <v>0</v>
      </c>
      <c r="F198" s="24">
        <f>+D198+E198</f>
        <v>164975000</v>
      </c>
      <c r="G198" s="24">
        <f t="shared" ref="G198:H198" si="112">+G194+G196</f>
        <v>128655000</v>
      </c>
      <c r="H198" s="24">
        <f t="shared" si="112"/>
        <v>0</v>
      </c>
      <c r="I198" s="24">
        <f>+G198+H198</f>
        <v>128655000</v>
      </c>
      <c r="J198" s="175">
        <f>+I198/F198</f>
        <v>0.77984543112592819</v>
      </c>
      <c r="K198" s="24">
        <f t="shared" ref="K198:L198" si="113">+K194+K196</f>
        <v>128655000</v>
      </c>
      <c r="L198" s="24">
        <f t="shared" si="113"/>
        <v>0</v>
      </c>
      <c r="M198" s="24">
        <f>+K198+L198</f>
        <v>128655000</v>
      </c>
      <c r="N198" s="172">
        <f>+M198/F198</f>
        <v>0.77984543112592819</v>
      </c>
      <c r="O198" s="24">
        <f>+F198-M198</f>
        <v>36320000</v>
      </c>
      <c r="P198" s="77"/>
      <c r="Q198" s="6" t="str">
        <f t="shared" ref="Q198" si="114">IF(M198&lt;=I198,"OKE","Salah")</f>
        <v>OKE</v>
      </c>
      <c r="R198" s="6"/>
    </row>
    <row r="199" spans="1:19" ht="14.1" customHeight="1" x14ac:dyDescent="0.2">
      <c r="A199" s="74"/>
      <c r="B199" s="28"/>
      <c r="C199" s="83"/>
      <c r="D199" s="13"/>
      <c r="E199" s="14"/>
      <c r="F199" s="183"/>
      <c r="G199" s="78"/>
      <c r="H199" s="79"/>
      <c r="I199" s="15"/>
      <c r="J199" s="143"/>
      <c r="K199" s="78"/>
      <c r="L199" s="80"/>
      <c r="M199" s="80"/>
      <c r="N199" s="171"/>
      <c r="O199" s="15"/>
      <c r="P199" s="77"/>
      <c r="Q199" s="6"/>
      <c r="R199" s="6"/>
    </row>
    <row r="200" spans="1:19" s="77" customFormat="1" ht="14.1" customHeight="1" x14ac:dyDescent="0.2">
      <c r="A200" s="212"/>
      <c r="B200" s="7" t="s">
        <v>160</v>
      </c>
      <c r="C200" s="208" t="s">
        <v>159</v>
      </c>
      <c r="D200" s="178">
        <f>SUM(D202:D210)</f>
        <v>5266450000</v>
      </c>
      <c r="E200" s="221"/>
      <c r="F200" s="178">
        <f>+D200+E200</f>
        <v>5266450000</v>
      </c>
      <c r="G200" s="314">
        <f>SUM(G202:G210)</f>
        <v>3059678000</v>
      </c>
      <c r="H200" s="178">
        <f>SUM(H202:H210)</f>
        <v>626441250</v>
      </c>
      <c r="I200" s="10">
        <f>+G200+H200</f>
        <v>3686119250</v>
      </c>
      <c r="J200" s="168">
        <f>+I200/F200</f>
        <v>0.69992485450350805</v>
      </c>
      <c r="K200" s="314">
        <f>SUM(K202:K210)</f>
        <v>3059606000</v>
      </c>
      <c r="L200" s="178">
        <f>SUM(L202:L210)</f>
        <v>626441250</v>
      </c>
      <c r="M200" s="10">
        <f>+K200+L200</f>
        <v>3686047250</v>
      </c>
      <c r="N200" s="169">
        <f>+M200/F200</f>
        <v>0.69991118305499911</v>
      </c>
      <c r="O200" s="10">
        <f>+F200-M200</f>
        <v>1580402750</v>
      </c>
      <c r="Q200" s="6" t="str">
        <f t="shared" si="100"/>
        <v>OKE</v>
      </c>
      <c r="R200" s="6"/>
      <c r="S200" s="69"/>
    </row>
    <row r="201" spans="1:19" s="77" customFormat="1" ht="14.1" customHeight="1" x14ac:dyDescent="0.2">
      <c r="A201" s="74"/>
      <c r="B201" s="74"/>
      <c r="C201" s="76"/>
      <c r="D201" s="15"/>
      <c r="E201" s="17"/>
      <c r="F201" s="15"/>
      <c r="G201" s="78"/>
      <c r="H201" s="79"/>
      <c r="I201" s="80"/>
      <c r="J201" s="86"/>
      <c r="K201" s="78"/>
      <c r="L201" s="76"/>
      <c r="M201" s="76"/>
      <c r="N201" s="86"/>
      <c r="O201" s="10"/>
      <c r="Q201" s="6"/>
      <c r="R201" s="6"/>
      <c r="S201" s="69"/>
    </row>
    <row r="202" spans="1:19" s="77" customFormat="1" ht="15" customHeight="1" x14ac:dyDescent="0.2">
      <c r="A202" s="74">
        <v>4</v>
      </c>
      <c r="B202" s="28" t="s">
        <v>164</v>
      </c>
      <c r="C202" s="83" t="s">
        <v>161</v>
      </c>
      <c r="D202" s="13">
        <v>1660000000</v>
      </c>
      <c r="E202" s="14"/>
      <c r="F202" s="13">
        <f>+D202+E202</f>
        <v>1660000000</v>
      </c>
      <c r="G202" s="315">
        <f>+juni!I209</f>
        <v>1007712400</v>
      </c>
      <c r="H202" s="80">
        <f>115730000+74712100</f>
        <v>190442100</v>
      </c>
      <c r="I202" s="15">
        <f>+G202+H202</f>
        <v>1198154500</v>
      </c>
      <c r="J202" s="143">
        <f>+I202/F202</f>
        <v>0.72177981927710844</v>
      </c>
      <c r="K202" s="315">
        <f>+juni!M209</f>
        <v>1007712400</v>
      </c>
      <c r="L202" s="80">
        <f>115730000+74712100</f>
        <v>190442100</v>
      </c>
      <c r="M202" s="80">
        <f>+K202+L202</f>
        <v>1198154500</v>
      </c>
      <c r="N202" s="171">
        <f>+M202/F202</f>
        <v>0.72177981927710844</v>
      </c>
      <c r="O202" s="15">
        <f>+F202-M202</f>
        <v>461845500</v>
      </c>
      <c r="Q202" s="6" t="str">
        <f t="shared" si="100"/>
        <v>OKE</v>
      </c>
      <c r="R202" s="6"/>
      <c r="S202" s="68"/>
    </row>
    <row r="203" spans="1:19" s="77" customFormat="1" ht="14.1" customHeight="1" x14ac:dyDescent="0.2">
      <c r="A203" s="74"/>
      <c r="B203" s="74"/>
      <c r="C203" s="83"/>
      <c r="D203" s="15"/>
      <c r="E203" s="17"/>
      <c r="F203" s="15"/>
      <c r="G203" s="78"/>
      <c r="H203" s="79"/>
      <c r="I203" s="15">
        <f>+G203+H203</f>
        <v>0</v>
      </c>
      <c r="J203" s="86"/>
      <c r="K203" s="78"/>
      <c r="L203" s="76"/>
      <c r="M203" s="76"/>
      <c r="N203" s="86"/>
      <c r="O203" s="10"/>
      <c r="Q203" s="6"/>
      <c r="R203" s="6"/>
      <c r="S203" s="68"/>
    </row>
    <row r="204" spans="1:19" s="77" customFormat="1" ht="15.75" customHeight="1" x14ac:dyDescent="0.2">
      <c r="A204" s="74">
        <v>5</v>
      </c>
      <c r="B204" s="28" t="s">
        <v>165</v>
      </c>
      <c r="C204" s="83" t="s">
        <v>162</v>
      </c>
      <c r="D204" s="13">
        <v>575000000</v>
      </c>
      <c r="E204" s="14"/>
      <c r="F204" s="13">
        <f>+D204+E204</f>
        <v>575000000</v>
      </c>
      <c r="G204" s="80">
        <f>+juni!I211</f>
        <v>164667000</v>
      </c>
      <c r="H204" s="79">
        <f>20804000+32498000</f>
        <v>53302000</v>
      </c>
      <c r="I204" s="15">
        <f>+G204+H204</f>
        <v>217969000</v>
      </c>
      <c r="J204" s="143">
        <f>+I204/F204</f>
        <v>0.37907652173913042</v>
      </c>
      <c r="K204" s="80">
        <f>+juni!M211</f>
        <v>164595000</v>
      </c>
      <c r="L204" s="80">
        <f>20804000+32498000</f>
        <v>53302000</v>
      </c>
      <c r="M204" s="80">
        <f>+K204+L204</f>
        <v>217897000</v>
      </c>
      <c r="N204" s="171">
        <f>+M204/F204</f>
        <v>0.37895130434782609</v>
      </c>
      <c r="O204" s="15">
        <f>+F204-M204</f>
        <v>357103000</v>
      </c>
      <c r="Q204" s="6" t="str">
        <f t="shared" si="100"/>
        <v>OKE</v>
      </c>
      <c r="R204" s="6"/>
      <c r="S204" s="69"/>
    </row>
    <row r="205" spans="1:19" s="77" customFormat="1" ht="14.1" customHeight="1" x14ac:dyDescent="0.2">
      <c r="A205" s="74"/>
      <c r="B205" s="74"/>
      <c r="C205" s="76"/>
      <c r="D205" s="15"/>
      <c r="E205" s="17"/>
      <c r="F205" s="15"/>
      <c r="G205" s="78"/>
      <c r="H205" s="79"/>
      <c r="I205" s="80"/>
      <c r="J205" s="86"/>
      <c r="K205" s="78"/>
      <c r="L205" s="76"/>
      <c r="M205" s="76"/>
      <c r="N205" s="86"/>
      <c r="O205" s="10"/>
      <c r="Q205" s="6"/>
      <c r="R205" s="6"/>
      <c r="S205" s="68"/>
    </row>
    <row r="206" spans="1:19" s="77" customFormat="1" ht="17.25" customHeight="1" x14ac:dyDescent="0.2">
      <c r="A206" s="74">
        <v>6</v>
      </c>
      <c r="B206" s="28" t="s">
        <v>166</v>
      </c>
      <c r="C206" s="83" t="s">
        <v>163</v>
      </c>
      <c r="D206" s="13">
        <v>270000000</v>
      </c>
      <c r="E206" s="14"/>
      <c r="F206" s="13">
        <f>+D206+E206</f>
        <v>270000000</v>
      </c>
      <c r="G206" s="80">
        <f>+juni!I213</f>
        <v>83772500</v>
      </c>
      <c r="H206" s="79">
        <v>14941350</v>
      </c>
      <c r="I206" s="15">
        <f>+G206+H206</f>
        <v>98713850</v>
      </c>
      <c r="J206" s="143">
        <f>+I206/F206</f>
        <v>0.36560685185185188</v>
      </c>
      <c r="K206" s="80">
        <f>+juni!M213</f>
        <v>83772500</v>
      </c>
      <c r="L206" s="80">
        <v>14941350</v>
      </c>
      <c r="M206" s="80">
        <f>+K206+L206</f>
        <v>98713850</v>
      </c>
      <c r="N206" s="171">
        <f>+M206/F206</f>
        <v>0.36560685185185188</v>
      </c>
      <c r="O206" s="15">
        <f>+F206-M206</f>
        <v>171286150</v>
      </c>
      <c r="Q206" s="6" t="str">
        <f t="shared" si="100"/>
        <v>OKE</v>
      </c>
      <c r="R206" s="6"/>
      <c r="S206" s="68"/>
    </row>
    <row r="207" spans="1:19" s="77" customFormat="1" ht="14.1" customHeight="1" x14ac:dyDescent="0.2">
      <c r="A207" s="74"/>
      <c r="B207" s="28"/>
      <c r="C207" s="83"/>
      <c r="D207" s="13"/>
      <c r="E207" s="14"/>
      <c r="F207" s="13"/>
      <c r="G207" s="78"/>
      <c r="H207" s="79"/>
      <c r="I207" s="15"/>
      <c r="J207" s="143"/>
      <c r="K207" s="78"/>
      <c r="L207" s="80"/>
      <c r="M207" s="80"/>
      <c r="N207" s="171"/>
      <c r="O207" s="15"/>
      <c r="Q207" s="6"/>
      <c r="R207" s="6"/>
      <c r="S207" s="68"/>
    </row>
    <row r="208" spans="1:19" s="77" customFormat="1" ht="17.25" customHeight="1" x14ac:dyDescent="0.2">
      <c r="A208" s="74">
        <v>7</v>
      </c>
      <c r="B208" s="28" t="s">
        <v>168</v>
      </c>
      <c r="C208" s="83" t="s">
        <v>167</v>
      </c>
      <c r="D208" s="13">
        <v>1800000000</v>
      </c>
      <c r="E208" s="14"/>
      <c r="F208" s="13">
        <f>+D208+E208</f>
        <v>1800000000</v>
      </c>
      <c r="G208" s="315">
        <f>+juni!I215</f>
        <v>1182268000</v>
      </c>
      <c r="H208" s="79">
        <f>32250000+37350000+49900000+91082500</f>
        <v>210582500</v>
      </c>
      <c r="I208" s="15">
        <f>+G208+H208</f>
        <v>1392850500</v>
      </c>
      <c r="J208" s="143">
        <f>+I208/F208</f>
        <v>0.7738058333333333</v>
      </c>
      <c r="K208" s="315">
        <f>+juni!M215</f>
        <v>1182268000</v>
      </c>
      <c r="L208" s="80">
        <f>32250000+37350000+49900000+91082500</f>
        <v>210582500</v>
      </c>
      <c r="M208" s="80">
        <f>+K208+L208</f>
        <v>1392850500</v>
      </c>
      <c r="N208" s="171">
        <f>+M208/F208</f>
        <v>0.7738058333333333</v>
      </c>
      <c r="O208" s="15">
        <f>+F208-M208</f>
        <v>407149500</v>
      </c>
      <c r="Q208" s="6" t="str">
        <f t="shared" si="100"/>
        <v>OKE</v>
      </c>
      <c r="R208" s="6"/>
      <c r="S208" s="68"/>
    </row>
    <row r="209" spans="1:19" s="77" customFormat="1" ht="14.1" customHeight="1" x14ac:dyDescent="0.2">
      <c r="A209" s="74"/>
      <c r="B209" s="28"/>
      <c r="C209" s="83"/>
      <c r="D209" s="13"/>
      <c r="E209" s="14"/>
      <c r="F209" s="13"/>
      <c r="G209" s="78"/>
      <c r="H209" s="79"/>
      <c r="I209" s="15"/>
      <c r="J209" s="143"/>
      <c r="K209" s="78"/>
      <c r="L209" s="80"/>
      <c r="M209" s="80"/>
      <c r="N209" s="171"/>
      <c r="O209" s="15"/>
      <c r="Q209" s="6"/>
      <c r="R209" s="6"/>
      <c r="S209" s="68"/>
    </row>
    <row r="210" spans="1:19" s="77" customFormat="1" ht="31.5" customHeight="1" x14ac:dyDescent="0.2">
      <c r="A210" s="74">
        <v>8</v>
      </c>
      <c r="B210" s="28" t="s">
        <v>170</v>
      </c>
      <c r="C210" s="304" t="s">
        <v>169</v>
      </c>
      <c r="D210" s="13">
        <v>961450000</v>
      </c>
      <c r="E210" s="14"/>
      <c r="F210" s="13">
        <f>+D210+E210</f>
        <v>961450000</v>
      </c>
      <c r="G210" s="80">
        <f>+juni!I217</f>
        <v>621258100</v>
      </c>
      <c r="H210" s="79">
        <v>157173300</v>
      </c>
      <c r="I210" s="15">
        <f>+G210+H210</f>
        <v>778431400</v>
      </c>
      <c r="J210" s="143">
        <f>+I210/F210</f>
        <v>0.80964314316917152</v>
      </c>
      <c r="K210" s="80">
        <f>+juni!M217</f>
        <v>621258100</v>
      </c>
      <c r="L210" s="80">
        <v>157173300</v>
      </c>
      <c r="M210" s="80">
        <f>+K210+L210</f>
        <v>778431400</v>
      </c>
      <c r="N210" s="171">
        <f>+M210/F210</f>
        <v>0.80964314316917152</v>
      </c>
      <c r="O210" s="15">
        <f>+F210-M210</f>
        <v>183018600</v>
      </c>
      <c r="Q210" s="6" t="str">
        <f t="shared" si="100"/>
        <v>OKE</v>
      </c>
      <c r="R210" s="6"/>
      <c r="S210" s="68"/>
    </row>
    <row r="211" spans="1:19" s="77" customFormat="1" ht="14.1" customHeight="1" x14ac:dyDescent="0.2">
      <c r="A211" s="74"/>
      <c r="B211" s="28"/>
      <c r="C211" s="83"/>
      <c r="D211" s="13"/>
      <c r="E211" s="14"/>
      <c r="F211" s="13"/>
      <c r="G211" s="78"/>
      <c r="H211" s="79"/>
      <c r="I211" s="15"/>
      <c r="J211" s="143"/>
      <c r="K211" s="78"/>
      <c r="L211" s="80"/>
      <c r="M211" s="80"/>
      <c r="N211" s="171"/>
      <c r="O211" s="15"/>
      <c r="Q211" s="6"/>
      <c r="R211" s="6"/>
      <c r="S211" s="68"/>
    </row>
    <row r="212" spans="1:19" ht="14.1" customHeight="1" x14ac:dyDescent="0.2">
      <c r="A212" s="81"/>
      <c r="B212" s="81"/>
      <c r="C212" s="23" t="s">
        <v>172</v>
      </c>
      <c r="D212" s="24">
        <f>SUM(D202:D210)</f>
        <v>5266450000</v>
      </c>
      <c r="E212" s="24">
        <f>SUM(E202:E210)</f>
        <v>0</v>
      </c>
      <c r="F212" s="141">
        <f>+D212+E212</f>
        <v>5266450000</v>
      </c>
      <c r="G212" s="316">
        <f>SUM(G202:G210)</f>
        <v>3059678000</v>
      </c>
      <c r="H212" s="24">
        <f>SUM(H202:H210)</f>
        <v>626441250</v>
      </c>
      <c r="I212" s="24">
        <f>+G212+H212</f>
        <v>3686119250</v>
      </c>
      <c r="J212" s="175">
        <f>+I212/F212</f>
        <v>0.69992485450350805</v>
      </c>
      <c r="K212" s="316">
        <f>SUM(K202:K211)</f>
        <v>3059606000</v>
      </c>
      <c r="L212" s="24">
        <f>SUM(L202:L211)</f>
        <v>626441250</v>
      </c>
      <c r="M212" s="24">
        <f>+K212+L212</f>
        <v>3686047250</v>
      </c>
      <c r="N212" s="172">
        <f>+M212/F212</f>
        <v>0.69991118305499911</v>
      </c>
      <c r="O212" s="24">
        <f>+F212-M212</f>
        <v>1580402750</v>
      </c>
      <c r="P212" s="77"/>
      <c r="Q212" s="6" t="str">
        <f t="shared" si="100"/>
        <v>OKE</v>
      </c>
      <c r="R212" s="6"/>
    </row>
    <row r="213" spans="1:19" ht="14.1" customHeight="1" x14ac:dyDescent="0.2">
      <c r="A213" s="74"/>
      <c r="B213" s="74"/>
      <c r="C213" s="76"/>
      <c r="D213" s="15"/>
      <c r="E213" s="15"/>
      <c r="F213" s="15"/>
      <c r="G213" s="80"/>
      <c r="H213" s="79"/>
      <c r="I213" s="80"/>
      <c r="J213" s="86"/>
      <c r="K213" s="80"/>
      <c r="L213" s="76"/>
      <c r="M213" s="76"/>
      <c r="N213" s="86"/>
      <c r="O213" s="10"/>
      <c r="P213" s="77"/>
      <c r="Q213" s="6"/>
      <c r="R213" s="6"/>
    </row>
    <row r="214" spans="1:19" ht="14.1" customHeight="1" x14ac:dyDescent="0.2">
      <c r="A214" s="74"/>
      <c r="B214" s="217" t="s">
        <v>202</v>
      </c>
      <c r="C214" s="216" t="s">
        <v>203</v>
      </c>
      <c r="D214" s="178">
        <f>+D216</f>
        <v>155412000</v>
      </c>
      <c r="E214" s="221">
        <f>+E216</f>
        <v>0</v>
      </c>
      <c r="F214" s="178">
        <f>D214</f>
        <v>155412000</v>
      </c>
      <c r="G214" s="178">
        <f>+G216</f>
        <v>0</v>
      </c>
      <c r="H214" s="178">
        <f>+H216</f>
        <v>1330000</v>
      </c>
      <c r="I214" s="10">
        <f>+G214+H214</f>
        <v>1330000</v>
      </c>
      <c r="J214" s="168">
        <f>+I214/F214</f>
        <v>8.557897717036007E-3</v>
      </c>
      <c r="K214" s="194"/>
      <c r="L214" s="180">
        <f>+L216</f>
        <v>1330000</v>
      </c>
      <c r="M214" s="180">
        <f>+K214+L214</f>
        <v>1330000</v>
      </c>
      <c r="N214" s="169">
        <f>+M214/D214</f>
        <v>8.557897717036007E-3</v>
      </c>
      <c r="O214" s="10">
        <f>+F214-M214</f>
        <v>154082000</v>
      </c>
      <c r="P214" s="83"/>
      <c r="Q214" s="6" t="str">
        <f t="shared" ref="Q214" si="115">IF(M214&lt;=I214,"OKE","Salah")</f>
        <v>OKE</v>
      </c>
      <c r="R214" s="6"/>
    </row>
    <row r="215" spans="1:19" ht="14.1" customHeight="1" x14ac:dyDescent="0.2">
      <c r="A215" s="74"/>
      <c r="B215" s="95"/>
      <c r="C215" s="27"/>
      <c r="D215" s="13"/>
      <c r="E215" s="14"/>
      <c r="F215" s="13"/>
      <c r="G215" s="78"/>
      <c r="H215" s="79"/>
      <c r="I215" s="15"/>
      <c r="J215" s="143"/>
      <c r="K215" s="78"/>
      <c r="L215" s="80"/>
      <c r="M215" s="80"/>
      <c r="N215" s="171"/>
      <c r="O215" s="15"/>
      <c r="P215" s="83"/>
      <c r="Q215" s="6"/>
      <c r="R215" s="6"/>
    </row>
    <row r="216" spans="1:19" ht="18.75" customHeight="1" x14ac:dyDescent="0.2">
      <c r="A216" s="74">
        <v>9</v>
      </c>
      <c r="B216" s="95" t="s">
        <v>206</v>
      </c>
      <c r="C216" s="468" t="s">
        <v>207</v>
      </c>
      <c r="D216" s="13">
        <v>155412000</v>
      </c>
      <c r="E216" s="14"/>
      <c r="F216" s="13">
        <f>D216</f>
        <v>155412000</v>
      </c>
      <c r="G216" s="80">
        <v>0</v>
      </c>
      <c r="H216" s="79">
        <v>1330000</v>
      </c>
      <c r="I216" s="15">
        <f>+G216+H216</f>
        <v>1330000</v>
      </c>
      <c r="J216" s="143">
        <f>+I216/F216</f>
        <v>8.557897717036007E-3</v>
      </c>
      <c r="K216" s="80">
        <v>0</v>
      </c>
      <c r="L216" s="80">
        <v>1330000</v>
      </c>
      <c r="M216" s="80">
        <f>+K216+L216</f>
        <v>1330000</v>
      </c>
      <c r="N216" s="171">
        <f>+M216/D216</f>
        <v>8.557897717036007E-3</v>
      </c>
      <c r="O216" s="15">
        <f>+F216-M216</f>
        <v>154082000</v>
      </c>
      <c r="P216" s="83"/>
      <c r="Q216" s="6" t="str">
        <f t="shared" ref="Q216:Q218" si="116">IF(M216&lt;=I216,"OKE","Salah")</f>
        <v>OKE</v>
      </c>
      <c r="R216" s="6"/>
    </row>
    <row r="217" spans="1:19" ht="17.25" customHeight="1" x14ac:dyDescent="0.2">
      <c r="A217" s="74"/>
      <c r="B217" s="95"/>
      <c r="C217" s="468"/>
      <c r="D217" s="13"/>
      <c r="E217" s="14"/>
      <c r="F217" s="13"/>
      <c r="G217" s="78"/>
      <c r="H217" s="79"/>
      <c r="I217" s="15"/>
      <c r="J217" s="143"/>
      <c r="K217" s="78"/>
      <c r="L217" s="80"/>
      <c r="M217" s="80"/>
      <c r="N217" s="171"/>
      <c r="O217" s="15"/>
      <c r="P217" s="83"/>
      <c r="Q217" s="6"/>
      <c r="R217" s="6"/>
    </row>
    <row r="218" spans="1:19" ht="23.25" customHeight="1" x14ac:dyDescent="0.2">
      <c r="A218" s="226"/>
      <c r="B218" s="227"/>
      <c r="C218" s="223" t="s">
        <v>171</v>
      </c>
      <c r="D218" s="224">
        <f>+D216</f>
        <v>155412000</v>
      </c>
      <c r="E218" s="224">
        <f>+E216</f>
        <v>0</v>
      </c>
      <c r="F218" s="224">
        <f>+F216</f>
        <v>155412000</v>
      </c>
      <c r="G218" s="224">
        <f>+G216</f>
        <v>0</v>
      </c>
      <c r="H218" s="224">
        <f>+H216</f>
        <v>1330000</v>
      </c>
      <c r="I218" s="141">
        <f>+G218+H218</f>
        <v>1330000</v>
      </c>
      <c r="J218" s="176">
        <f>+I218/F218</f>
        <v>8.557897717036007E-3</v>
      </c>
      <c r="K218" s="224">
        <f>+K216</f>
        <v>0</v>
      </c>
      <c r="L218" s="224">
        <f>+L216</f>
        <v>1330000</v>
      </c>
      <c r="M218" s="232">
        <f>+K218+L218</f>
        <v>1330000</v>
      </c>
      <c r="N218" s="172">
        <f>+M218/F218</f>
        <v>8.557897717036007E-3</v>
      </c>
      <c r="O218" s="24">
        <f>+F218-M218</f>
        <v>154082000</v>
      </c>
      <c r="P218" s="208"/>
      <c r="Q218" s="6" t="str">
        <f t="shared" si="116"/>
        <v>OKE</v>
      </c>
      <c r="R218" s="6"/>
    </row>
    <row r="219" spans="1:19" ht="14.1" customHeight="1" x14ac:dyDescent="0.2">
      <c r="A219" s="74"/>
      <c r="B219" s="74"/>
      <c r="C219" s="77"/>
      <c r="D219" s="15"/>
      <c r="E219" s="15"/>
      <c r="F219" s="15"/>
      <c r="G219" s="80"/>
      <c r="H219" s="79"/>
      <c r="I219" s="80"/>
      <c r="J219" s="86"/>
      <c r="K219" s="80"/>
      <c r="L219" s="76"/>
      <c r="M219" s="76"/>
      <c r="N219" s="86"/>
      <c r="O219" s="10"/>
      <c r="P219" s="77"/>
      <c r="Q219" s="6"/>
      <c r="R219" s="6"/>
    </row>
    <row r="220" spans="1:19" ht="14.1" customHeight="1" x14ac:dyDescent="0.2">
      <c r="A220" s="206"/>
      <c r="B220" s="206" t="s">
        <v>173</v>
      </c>
      <c r="C220" s="255" t="s">
        <v>177</v>
      </c>
      <c r="D220" s="209">
        <f>D226</f>
        <v>1022000000</v>
      </c>
      <c r="E220" s="10">
        <f>E226</f>
        <v>0</v>
      </c>
      <c r="F220" s="10">
        <f>+D220+E220</f>
        <v>1022000000</v>
      </c>
      <c r="G220" s="10">
        <f>G226</f>
        <v>596924236</v>
      </c>
      <c r="H220" s="10">
        <f>H226</f>
        <v>95601223</v>
      </c>
      <c r="I220" s="10">
        <f>+G220+H220</f>
        <v>692525459</v>
      </c>
      <c r="J220" s="168">
        <f>+I220/F220</f>
        <v>0.67761786594911932</v>
      </c>
      <c r="K220" s="10">
        <f>K226</f>
        <v>596924236</v>
      </c>
      <c r="L220" s="10">
        <f>L226</f>
        <v>95601223</v>
      </c>
      <c r="M220" s="10">
        <f>+K220+L220</f>
        <v>692525459</v>
      </c>
      <c r="N220" s="169">
        <f>+M220/F220</f>
        <v>0.67761786594911932</v>
      </c>
      <c r="O220" s="10">
        <f>+F220-M220</f>
        <v>329474541</v>
      </c>
      <c r="P220" s="77"/>
      <c r="Q220" s="6" t="str">
        <f t="shared" si="100"/>
        <v>OKE</v>
      </c>
      <c r="R220" s="6"/>
    </row>
    <row r="221" spans="1:19" ht="14.1" customHeight="1" x14ac:dyDescent="0.2">
      <c r="A221" s="74"/>
      <c r="B221" s="74"/>
      <c r="C221" s="76"/>
      <c r="D221" s="15"/>
      <c r="E221" s="15"/>
      <c r="F221" s="15"/>
      <c r="G221" s="80"/>
      <c r="H221" s="79"/>
      <c r="I221" s="80"/>
      <c r="J221" s="86"/>
      <c r="K221" s="80"/>
      <c r="L221" s="76"/>
      <c r="M221" s="76"/>
      <c r="N221" s="86"/>
      <c r="O221" s="10"/>
      <c r="P221" s="77"/>
      <c r="Q221" s="6"/>
      <c r="R221" s="6"/>
    </row>
    <row r="222" spans="1:19" ht="14.1" customHeight="1" x14ac:dyDescent="0.2">
      <c r="A222" s="74">
        <v>10</v>
      </c>
      <c r="B222" s="28" t="s">
        <v>174</v>
      </c>
      <c r="C222" s="27" t="s">
        <v>60</v>
      </c>
      <c r="D222" s="13">
        <v>22000000</v>
      </c>
      <c r="E222" s="14"/>
      <c r="F222" s="13">
        <f>+D222+E222</f>
        <v>22000000</v>
      </c>
      <c r="G222" s="80">
        <f>+juni!I223</f>
        <v>7400000</v>
      </c>
      <c r="H222" s="79">
        <v>1500000</v>
      </c>
      <c r="I222" s="15">
        <f t="shared" ref="I222:I224" si="117">+G222+H222</f>
        <v>8900000</v>
      </c>
      <c r="J222" s="143">
        <f>+I222/F222</f>
        <v>0.40454545454545454</v>
      </c>
      <c r="K222" s="80">
        <f>+juni!M223</f>
        <v>7400000</v>
      </c>
      <c r="L222" s="80">
        <v>1500000</v>
      </c>
      <c r="M222" s="80">
        <f t="shared" ref="M222" si="118">+K222+L222</f>
        <v>8900000</v>
      </c>
      <c r="N222" s="171">
        <f>+M222/F222</f>
        <v>0.40454545454545454</v>
      </c>
      <c r="O222" s="15">
        <f>+F222-M222</f>
        <v>13100000</v>
      </c>
      <c r="P222" s="77"/>
      <c r="Q222" s="6" t="str">
        <f t="shared" si="100"/>
        <v>OKE</v>
      </c>
      <c r="R222" s="6"/>
    </row>
    <row r="223" spans="1:19" ht="14.1" customHeight="1" x14ac:dyDescent="0.2">
      <c r="A223" s="74"/>
      <c r="B223" s="28"/>
      <c r="C223" s="27"/>
      <c r="D223" s="13"/>
      <c r="E223" s="14"/>
      <c r="F223" s="13"/>
      <c r="G223" s="78"/>
      <c r="H223" s="79"/>
      <c r="I223" s="15"/>
      <c r="J223" s="143"/>
      <c r="K223" s="78"/>
      <c r="L223" s="80"/>
      <c r="M223" s="80"/>
      <c r="N223" s="171"/>
      <c r="O223" s="15"/>
      <c r="P223" s="77"/>
      <c r="Q223" s="6"/>
      <c r="R223" s="6"/>
    </row>
    <row r="224" spans="1:19" ht="14.1" customHeight="1" x14ac:dyDescent="0.2">
      <c r="A224" s="74">
        <v>11</v>
      </c>
      <c r="B224" s="28" t="s">
        <v>175</v>
      </c>
      <c r="C224" s="276" t="s">
        <v>176</v>
      </c>
      <c r="D224" s="13">
        <v>1000000000</v>
      </c>
      <c r="E224" s="14"/>
      <c r="F224" s="13">
        <f>+D224+E224</f>
        <v>1000000000</v>
      </c>
      <c r="G224" s="80">
        <f>+juni!I225</f>
        <v>589524236</v>
      </c>
      <c r="H224" s="79">
        <f>7678900+73628352+2791971+10002000</f>
        <v>94101223</v>
      </c>
      <c r="I224" s="15">
        <f t="shared" si="117"/>
        <v>683625459</v>
      </c>
      <c r="J224" s="143">
        <f>+I224/F224</f>
        <v>0.68362545900000005</v>
      </c>
      <c r="K224" s="80">
        <f>+juni!M225</f>
        <v>589524236</v>
      </c>
      <c r="L224" s="79">
        <f>7678900+73628352+2791971+10002000</f>
        <v>94101223</v>
      </c>
      <c r="M224" s="80">
        <f>+K224+L224</f>
        <v>683625459</v>
      </c>
      <c r="N224" s="171">
        <f>+M224/F224</f>
        <v>0.68362545900000005</v>
      </c>
      <c r="O224" s="15">
        <f>+F224-M224</f>
        <v>316374541</v>
      </c>
      <c r="P224" s="77"/>
      <c r="Q224" s="6" t="str">
        <f>IF(M224&lt;=I224,"OKE","Salah")</f>
        <v>OKE</v>
      </c>
      <c r="R224" s="6"/>
    </row>
    <row r="225" spans="1:18" ht="14.1" customHeight="1" x14ac:dyDescent="0.2">
      <c r="A225" s="74"/>
      <c r="B225" s="29"/>
      <c r="C225" s="27"/>
      <c r="D225" s="13"/>
      <c r="E225" s="14"/>
      <c r="F225" s="13"/>
      <c r="G225" s="78"/>
      <c r="H225" s="79"/>
      <c r="I225" s="15"/>
      <c r="J225" s="143"/>
      <c r="K225" s="80"/>
      <c r="L225" s="80"/>
      <c r="M225" s="80"/>
      <c r="N225" s="171"/>
      <c r="O225" s="15"/>
      <c r="P225" s="77"/>
      <c r="Q225" s="6"/>
      <c r="R225" s="6"/>
    </row>
    <row r="226" spans="1:18" ht="14.1" customHeight="1" x14ac:dyDescent="0.2">
      <c r="A226" s="81"/>
      <c r="B226" s="81"/>
      <c r="C226" s="23" t="s">
        <v>172</v>
      </c>
      <c r="D226" s="24">
        <f>+D222+D224</f>
        <v>1022000000</v>
      </c>
      <c r="E226" s="24">
        <f>SUM(E222:E225)</f>
        <v>0</v>
      </c>
      <c r="F226" s="141">
        <f>SUM(F222:F225)</f>
        <v>1022000000</v>
      </c>
      <c r="G226" s="24">
        <f t="shared" ref="G226:H226" si="119">+G222+G224</f>
        <v>596924236</v>
      </c>
      <c r="H226" s="24">
        <f t="shared" si="119"/>
        <v>95601223</v>
      </c>
      <c r="I226" s="24">
        <f>+G226+H226</f>
        <v>692525459</v>
      </c>
      <c r="J226" s="175">
        <f>+I226/F226</f>
        <v>0.67761786594911932</v>
      </c>
      <c r="K226" s="24">
        <f>SUM(K222:K225)</f>
        <v>596924236</v>
      </c>
      <c r="L226" s="24">
        <f>SUM(L222:L225)</f>
        <v>95601223</v>
      </c>
      <c r="M226" s="24">
        <f>+K226+L226</f>
        <v>692525459</v>
      </c>
      <c r="N226" s="172">
        <f>+M226/F226</f>
        <v>0.67761786594911932</v>
      </c>
      <c r="O226" s="24">
        <f>+F226-M226</f>
        <v>329474541</v>
      </c>
      <c r="P226" s="77"/>
      <c r="Q226" s="6" t="str">
        <f t="shared" si="100"/>
        <v>OKE</v>
      </c>
      <c r="R226" s="6"/>
    </row>
    <row r="227" spans="1:18" ht="15" customHeight="1" x14ac:dyDescent="0.2">
      <c r="A227" s="87"/>
      <c r="B227" s="87"/>
      <c r="C227" s="148"/>
      <c r="D227" s="149"/>
      <c r="E227" s="149"/>
      <c r="F227" s="149"/>
      <c r="G227" s="149"/>
      <c r="H227" s="149"/>
      <c r="I227" s="149"/>
      <c r="J227" s="177"/>
      <c r="K227" s="149"/>
      <c r="L227" s="149"/>
      <c r="M227" s="149"/>
      <c r="N227" s="174"/>
      <c r="O227" s="149"/>
      <c r="P227" s="77"/>
      <c r="Q227" s="6"/>
      <c r="R227" s="6"/>
    </row>
    <row r="228" spans="1:18" ht="15" customHeight="1" x14ac:dyDescent="0.2">
      <c r="A228" s="206"/>
      <c r="B228" s="206" t="s">
        <v>179</v>
      </c>
      <c r="C228" s="282" t="s">
        <v>178</v>
      </c>
      <c r="D228" s="209">
        <f>+D236</f>
        <v>2410000000</v>
      </c>
      <c r="E228" s="10">
        <f t="shared" ref="E228:F228" si="120">+E236</f>
        <v>0</v>
      </c>
      <c r="F228" s="10">
        <f t="shared" si="120"/>
        <v>2410000000</v>
      </c>
      <c r="G228" s="10">
        <f>+G236</f>
        <v>785789074</v>
      </c>
      <c r="H228" s="11">
        <f>+H236</f>
        <v>139182211</v>
      </c>
      <c r="I228" s="10">
        <f>+G228+H228</f>
        <v>924971285</v>
      </c>
      <c r="J228" s="168">
        <f>+I228/F228</f>
        <v>0.38380551244813277</v>
      </c>
      <c r="K228" s="10">
        <f>+K236</f>
        <v>770419824</v>
      </c>
      <c r="L228" s="10">
        <f>+L236</f>
        <v>137314928</v>
      </c>
      <c r="M228" s="10">
        <f>+K228+L228</f>
        <v>907734752</v>
      </c>
      <c r="N228" s="169">
        <f>+M228/F228</f>
        <v>0.37665342406639002</v>
      </c>
      <c r="O228" s="10">
        <f>+F228-M228</f>
        <v>1502265248</v>
      </c>
      <c r="P228" s="77"/>
      <c r="Q228" s="6" t="str">
        <f t="shared" ref="Q228:Q236" si="121">IF(M228&lt;=I228,"OKE","Salah")</f>
        <v>OKE</v>
      </c>
      <c r="R228" s="6"/>
    </row>
    <row r="229" spans="1:18" ht="15" customHeight="1" x14ac:dyDescent="0.2">
      <c r="A229" s="74"/>
      <c r="B229" s="74"/>
      <c r="C229" s="76"/>
      <c r="D229" s="15"/>
      <c r="E229" s="15"/>
      <c r="F229" s="15"/>
      <c r="G229" s="80"/>
      <c r="H229" s="79"/>
      <c r="I229" s="80"/>
      <c r="J229" s="86"/>
      <c r="K229" s="80"/>
      <c r="L229" s="76"/>
      <c r="M229" s="76"/>
      <c r="N229" s="86"/>
      <c r="O229" s="10"/>
      <c r="P229" s="77"/>
      <c r="Q229" s="6"/>
      <c r="R229" s="6"/>
    </row>
    <row r="230" spans="1:18" ht="28.5" customHeight="1" x14ac:dyDescent="0.2">
      <c r="A230" s="74">
        <v>12</v>
      </c>
      <c r="B230" s="354" t="s">
        <v>181</v>
      </c>
      <c r="C230" s="276" t="s">
        <v>180</v>
      </c>
      <c r="D230" s="213">
        <v>910000000</v>
      </c>
      <c r="E230" s="14"/>
      <c r="F230" s="13">
        <f>+D230+E230</f>
        <v>910000000</v>
      </c>
      <c r="G230" s="80">
        <f>+juni!I231</f>
        <v>389220674</v>
      </c>
      <c r="H230" s="79">
        <f>28819570+43995858</f>
        <v>72815428</v>
      </c>
      <c r="I230" s="15">
        <f>+G230+H230</f>
        <v>462036102</v>
      </c>
      <c r="J230" s="143">
        <f>+I230/F230</f>
        <v>0.50773198021978017</v>
      </c>
      <c r="K230" s="80">
        <f>+juni!M231</f>
        <v>389220674</v>
      </c>
      <c r="L230" s="79">
        <f>28819570+43995858</f>
        <v>72815428</v>
      </c>
      <c r="M230" s="80">
        <f>+K230+L230</f>
        <v>462036102</v>
      </c>
      <c r="N230" s="171">
        <f>+M230/F230</f>
        <v>0.50773198021978017</v>
      </c>
      <c r="O230" s="15">
        <f>+F230-M230</f>
        <v>447963898</v>
      </c>
      <c r="P230" s="77"/>
      <c r="Q230" s="6" t="str">
        <f t="shared" ref="Q230" si="122">IF(M230&lt;=I230,"OKE","Salah")</f>
        <v>OKE</v>
      </c>
      <c r="R230" s="6"/>
    </row>
    <row r="231" spans="1:18" ht="15" customHeight="1" x14ac:dyDescent="0.2">
      <c r="A231" s="74"/>
      <c r="B231" s="74"/>
      <c r="C231" s="83"/>
      <c r="D231" s="15"/>
      <c r="E231" s="17"/>
      <c r="F231" s="15"/>
      <c r="G231" s="78"/>
      <c r="H231" s="79"/>
      <c r="I231" s="80"/>
      <c r="J231" s="86"/>
      <c r="K231" s="78"/>
      <c r="L231" s="76"/>
      <c r="M231" s="76"/>
      <c r="N231" s="86"/>
      <c r="O231" s="10"/>
      <c r="P231" s="77"/>
      <c r="Q231" s="6"/>
      <c r="R231" s="6"/>
    </row>
    <row r="232" spans="1:18" ht="30.75" customHeight="1" x14ac:dyDescent="0.2">
      <c r="A232" s="74">
        <v>13</v>
      </c>
      <c r="B232" s="355" t="s">
        <v>209</v>
      </c>
      <c r="C232" s="274" t="s">
        <v>208</v>
      </c>
      <c r="D232" s="13">
        <v>1000000000</v>
      </c>
      <c r="E232" s="14"/>
      <c r="F232" s="13">
        <f>E232+D232</f>
        <v>1000000000</v>
      </c>
      <c r="G232" s="80">
        <f>+juni!I233</f>
        <v>247214150</v>
      </c>
      <c r="H232" s="79">
        <v>30723633</v>
      </c>
      <c r="I232" s="15">
        <f>+G232+H232</f>
        <v>277937783</v>
      </c>
      <c r="J232" s="143">
        <f>+I232/F232</f>
        <v>0.27793778299999999</v>
      </c>
      <c r="K232" s="80">
        <f>+juni!M233</f>
        <v>247214150</v>
      </c>
      <c r="L232" s="80">
        <v>28856350</v>
      </c>
      <c r="M232" s="80">
        <f>+K232+L232</f>
        <v>276070500</v>
      </c>
      <c r="N232" s="171">
        <f>+M232/D232</f>
        <v>0.2760705</v>
      </c>
      <c r="O232" s="15">
        <f>+F232-M232</f>
        <v>723929500</v>
      </c>
      <c r="P232" s="83"/>
      <c r="Q232" s="6" t="str">
        <f t="shared" ref="Q232" si="123">IF(M232&lt;=I232,"OKE","Salah")</f>
        <v>OKE</v>
      </c>
      <c r="R232" s="6"/>
    </row>
    <row r="233" spans="1:18" ht="15" customHeight="1" x14ac:dyDescent="0.2">
      <c r="A233" s="74"/>
      <c r="B233" s="218"/>
      <c r="C233" s="25"/>
      <c r="D233" s="13"/>
      <c r="E233" s="14"/>
      <c r="F233" s="13"/>
      <c r="G233" s="78"/>
      <c r="H233" s="79"/>
      <c r="I233" s="15"/>
      <c r="J233" s="143"/>
      <c r="K233" s="78"/>
      <c r="L233" s="80"/>
      <c r="M233" s="80"/>
      <c r="N233" s="171"/>
      <c r="O233" s="15"/>
      <c r="P233" s="83"/>
      <c r="Q233" s="6"/>
      <c r="R233" s="6"/>
    </row>
    <row r="234" spans="1:18" ht="30.75" customHeight="1" x14ac:dyDescent="0.2">
      <c r="A234" s="74">
        <v>14</v>
      </c>
      <c r="B234" s="355" t="s">
        <v>211</v>
      </c>
      <c r="C234" s="275" t="s">
        <v>210</v>
      </c>
      <c r="D234" s="15">
        <v>500000000</v>
      </c>
      <c r="E234" s="15"/>
      <c r="F234" s="13">
        <f>E234+D234</f>
        <v>500000000</v>
      </c>
      <c r="G234" s="80">
        <f>+juni!I235</f>
        <v>149354250</v>
      </c>
      <c r="H234" s="79">
        <f>8400000+27243150</f>
        <v>35643150</v>
      </c>
      <c r="I234" s="15">
        <f>+G234+H234</f>
        <v>184997400</v>
      </c>
      <c r="J234" s="143">
        <f>+I234/F234</f>
        <v>0.36999480000000001</v>
      </c>
      <c r="K234" s="80">
        <f>+mei!M235</f>
        <v>133985000</v>
      </c>
      <c r="L234" s="80">
        <f>8400000+27243150</f>
        <v>35643150</v>
      </c>
      <c r="M234" s="80">
        <f>+K234+L234</f>
        <v>169628150</v>
      </c>
      <c r="N234" s="171">
        <f>+M234/D234</f>
        <v>0.33925630000000001</v>
      </c>
      <c r="O234" s="15">
        <f>+F234-M234</f>
        <v>330371850</v>
      </c>
      <c r="P234" s="83"/>
      <c r="Q234" s="6" t="str">
        <f t="shared" ref="Q234" si="124">IF(M234&lt;=I234,"OKE","Salah")</f>
        <v>OKE</v>
      </c>
      <c r="R234" s="6"/>
    </row>
    <row r="235" spans="1:18" ht="15" customHeight="1" x14ac:dyDescent="0.2">
      <c r="A235" s="74"/>
      <c r="B235" s="74"/>
      <c r="C235" s="83"/>
      <c r="D235" s="15"/>
      <c r="E235" s="17"/>
      <c r="F235" s="15"/>
      <c r="G235" s="78"/>
      <c r="H235" s="79"/>
      <c r="I235" s="80"/>
      <c r="J235" s="86"/>
      <c r="K235" s="78"/>
      <c r="L235" s="76"/>
      <c r="M235" s="76"/>
      <c r="N235" s="86"/>
      <c r="O235" s="10"/>
      <c r="P235" s="77"/>
      <c r="Q235" s="6"/>
      <c r="R235" s="6"/>
    </row>
    <row r="236" spans="1:18" ht="18.75" customHeight="1" x14ac:dyDescent="0.2">
      <c r="A236" s="139"/>
      <c r="B236" s="139"/>
      <c r="C236" s="140" t="s">
        <v>172</v>
      </c>
      <c r="D236" s="141">
        <f>+D230+D232+D234</f>
        <v>2410000000</v>
      </c>
      <c r="E236" s="141">
        <f>+E230</f>
        <v>0</v>
      </c>
      <c r="F236" s="141">
        <f>+D236+E236</f>
        <v>2410000000</v>
      </c>
      <c r="G236" s="141">
        <f>+G230+G232+G234</f>
        <v>785789074</v>
      </c>
      <c r="H236" s="141">
        <f>+H230+H232+H234</f>
        <v>139182211</v>
      </c>
      <c r="I236" s="141">
        <f>+G236+H236</f>
        <v>924971285</v>
      </c>
      <c r="J236" s="176">
        <f>+I236/F236</f>
        <v>0.38380551244813277</v>
      </c>
      <c r="K236" s="141">
        <f>+K230+K232+K234</f>
        <v>770419824</v>
      </c>
      <c r="L236" s="141">
        <f>+L230+L232+L234</f>
        <v>137314928</v>
      </c>
      <c r="M236" s="141">
        <f>+K236+L236</f>
        <v>907734752</v>
      </c>
      <c r="N236" s="173">
        <f>+M236/F236</f>
        <v>0.37665342406639002</v>
      </c>
      <c r="O236" s="141">
        <f>+F236-M236</f>
        <v>1502265248</v>
      </c>
      <c r="P236" s="77"/>
      <c r="Q236" s="6" t="str">
        <f t="shared" si="121"/>
        <v>OKE</v>
      </c>
      <c r="R236" s="6"/>
    </row>
    <row r="237" spans="1:18" ht="15.95" customHeight="1" x14ac:dyDescent="0.2">
      <c r="A237" s="87"/>
      <c r="B237" s="182"/>
      <c r="C237" s="4"/>
      <c r="D237" s="183"/>
      <c r="E237" s="183"/>
      <c r="F237" s="183"/>
      <c r="G237" s="256"/>
      <c r="H237" s="257"/>
      <c r="I237" s="184"/>
      <c r="J237" s="185"/>
      <c r="K237" s="256"/>
      <c r="L237" s="256"/>
      <c r="M237" s="256"/>
      <c r="N237" s="186"/>
      <c r="O237" s="184"/>
      <c r="P237" s="77"/>
      <c r="Q237" s="6"/>
      <c r="R237" s="6"/>
    </row>
    <row r="238" spans="1:18" ht="34.5" customHeight="1" x14ac:dyDescent="0.2">
      <c r="A238" s="74"/>
      <c r="B238" s="214" t="s">
        <v>304</v>
      </c>
      <c r="C238" s="301" t="s">
        <v>277</v>
      </c>
      <c r="D238" s="178">
        <f>+D240</f>
        <v>1017000000</v>
      </c>
      <c r="E238" s="14"/>
      <c r="F238" s="178">
        <f>+D238+E238</f>
        <v>1017000000</v>
      </c>
      <c r="G238" s="178">
        <f>+G240+G247</f>
        <v>432225000</v>
      </c>
      <c r="H238" s="178">
        <f>+H240+H247</f>
        <v>72037500</v>
      </c>
      <c r="I238" s="10">
        <f>+G238+H238</f>
        <v>504262500</v>
      </c>
      <c r="J238" s="168">
        <f>+I238/F238</f>
        <v>0.49583333333333335</v>
      </c>
      <c r="K238" s="178">
        <f>+K240+K247</f>
        <v>432225000</v>
      </c>
      <c r="L238" s="178">
        <f>+L240+L247</f>
        <v>72037500</v>
      </c>
      <c r="M238" s="180">
        <f>+K238+L238</f>
        <v>504262500</v>
      </c>
      <c r="N238" s="169">
        <f>+M238/F238</f>
        <v>0.49583333333333335</v>
      </c>
      <c r="O238" s="10">
        <f>+F238-M238</f>
        <v>512737500</v>
      </c>
      <c r="P238" s="83"/>
      <c r="Q238" s="6" t="str">
        <f t="shared" ref="Q238" si="125">IF(M238&lt;=I238,"OKE","Salah")</f>
        <v>OKE</v>
      </c>
      <c r="R238" s="6"/>
    </row>
    <row r="239" spans="1:18" ht="15.95" customHeight="1" x14ac:dyDescent="0.2">
      <c r="A239" s="74"/>
      <c r="B239" s="74"/>
      <c r="C239" s="76"/>
      <c r="D239" s="15"/>
      <c r="E239" s="15"/>
      <c r="F239" s="15"/>
      <c r="G239" s="80"/>
      <c r="H239" s="79"/>
      <c r="I239" s="80"/>
      <c r="J239" s="86"/>
      <c r="K239" s="80"/>
      <c r="L239" s="76"/>
      <c r="M239" s="76"/>
      <c r="N239" s="86"/>
      <c r="O239" s="10"/>
      <c r="P239" s="83"/>
      <c r="Q239" s="6"/>
      <c r="R239" s="6"/>
    </row>
    <row r="240" spans="1:18" ht="27" customHeight="1" x14ac:dyDescent="0.2">
      <c r="A240" s="74">
        <v>15</v>
      </c>
      <c r="B240" s="29" t="s">
        <v>303</v>
      </c>
      <c r="C240" s="219" t="s">
        <v>312</v>
      </c>
      <c r="D240" s="13">
        <v>1017000000</v>
      </c>
      <c r="E240" s="14"/>
      <c r="F240" s="13">
        <f>+D240+E240</f>
        <v>1017000000</v>
      </c>
      <c r="G240" s="80">
        <f>+juni!I241</f>
        <v>432225000</v>
      </c>
      <c r="H240" s="79">
        <v>72037500</v>
      </c>
      <c r="I240" s="15">
        <f>+G240+H240</f>
        <v>504262500</v>
      </c>
      <c r="J240" s="143">
        <f>+I240/F240</f>
        <v>0.49583333333333335</v>
      </c>
      <c r="K240" s="80">
        <f>+juni!M241</f>
        <v>432225000</v>
      </c>
      <c r="L240" s="80">
        <v>72037500</v>
      </c>
      <c r="M240" s="80">
        <f>+K240+L240</f>
        <v>504262500</v>
      </c>
      <c r="N240" s="171">
        <f>+M240/F240</f>
        <v>0.49583333333333335</v>
      </c>
      <c r="O240" s="15">
        <f>+F240-M240</f>
        <v>512737500</v>
      </c>
      <c r="P240" s="83"/>
      <c r="Q240" s="6" t="str">
        <f t="shared" ref="Q240" si="126">IF(M240&lt;=I240,"OKE","Salah")</f>
        <v>OKE</v>
      </c>
      <c r="R240" s="6"/>
    </row>
    <row r="241" spans="1:19" ht="16.5" customHeight="1" x14ac:dyDescent="0.2">
      <c r="A241" s="74"/>
      <c r="B241" s="29"/>
      <c r="C241" s="219"/>
      <c r="D241" s="13"/>
      <c r="E241" s="14"/>
      <c r="F241" s="13"/>
      <c r="G241" s="78"/>
      <c r="H241" s="79"/>
      <c r="I241" s="15"/>
      <c r="J241" s="143"/>
      <c r="K241" s="78"/>
      <c r="L241" s="80"/>
      <c r="M241" s="80"/>
      <c r="N241" s="171"/>
      <c r="O241" s="15"/>
      <c r="P241" s="77"/>
      <c r="Q241" s="6"/>
      <c r="R241" s="6"/>
    </row>
    <row r="242" spans="1:19" ht="17.25" customHeight="1" x14ac:dyDescent="0.2">
      <c r="A242" s="139"/>
      <c r="B242" s="139"/>
      <c r="C242" s="140" t="s">
        <v>172</v>
      </c>
      <c r="D242" s="141">
        <f>+D240</f>
        <v>1017000000</v>
      </c>
      <c r="E242" s="141">
        <f>+E240</f>
        <v>0</v>
      </c>
      <c r="F242" s="141">
        <f>+F240</f>
        <v>1017000000</v>
      </c>
      <c r="G242" s="141">
        <f t="shared" ref="G242:H242" si="127">+G240</f>
        <v>432225000</v>
      </c>
      <c r="H242" s="141">
        <f t="shared" si="127"/>
        <v>72037500</v>
      </c>
      <c r="I242" s="141">
        <f>+G242+H242</f>
        <v>504262500</v>
      </c>
      <c r="J242" s="176">
        <f>+I242/F242</f>
        <v>0.49583333333333335</v>
      </c>
      <c r="K242" s="141">
        <f>+K240</f>
        <v>432225000</v>
      </c>
      <c r="L242" s="141">
        <f>+L240</f>
        <v>72037500</v>
      </c>
      <c r="M242" s="141">
        <f>+K242+L242</f>
        <v>504262500</v>
      </c>
      <c r="N242" s="173">
        <f>+M242/F242</f>
        <v>0.49583333333333335</v>
      </c>
      <c r="O242" s="141">
        <f>+F242-M242</f>
        <v>512737500</v>
      </c>
      <c r="P242" s="77"/>
      <c r="Q242" s="6" t="str">
        <f t="shared" ref="Q242" si="128">IF(M242&lt;=I242,"OKE","Salah")</f>
        <v>OKE</v>
      </c>
      <c r="R242" s="6"/>
    </row>
    <row r="243" spans="1:19" ht="15.95" customHeight="1" x14ac:dyDescent="0.2">
      <c r="A243" s="74"/>
      <c r="B243" s="29"/>
      <c r="C243" s="8"/>
      <c r="D243" s="13"/>
      <c r="E243" s="13"/>
      <c r="F243" s="13"/>
      <c r="G243" s="80"/>
      <c r="H243" s="79"/>
      <c r="I243" s="15"/>
      <c r="J243" s="143"/>
      <c r="K243" s="80"/>
      <c r="L243" s="80"/>
      <c r="M243" s="80"/>
      <c r="N243" s="171"/>
      <c r="O243" s="15"/>
      <c r="P243" s="77"/>
      <c r="Q243" s="6"/>
      <c r="R243" s="6"/>
    </row>
    <row r="244" spans="1:19" ht="33.75" customHeight="1" x14ac:dyDescent="0.2">
      <c r="A244" s="7"/>
      <c r="B244" s="206" t="s">
        <v>183</v>
      </c>
      <c r="C244" s="346" t="s">
        <v>377</v>
      </c>
      <c r="D244" s="10">
        <f>+D246+D248</f>
        <v>2300000000</v>
      </c>
      <c r="E244" s="10">
        <f t="shared" ref="E244:F244" si="129">+E246+E248</f>
        <v>0</v>
      </c>
      <c r="F244" s="10">
        <f t="shared" si="129"/>
        <v>2300000000</v>
      </c>
      <c r="G244" s="10">
        <f t="shared" ref="G244:H244" si="130">+G250</f>
        <v>880060750</v>
      </c>
      <c r="H244" s="11">
        <f t="shared" si="130"/>
        <v>231068169</v>
      </c>
      <c r="I244" s="10">
        <f>+G244+H244</f>
        <v>1111128919</v>
      </c>
      <c r="J244" s="168">
        <f>+I244/F244</f>
        <v>0.48309953</v>
      </c>
      <c r="K244" s="10">
        <f t="shared" ref="K244:L244" si="131">+K246+K248</f>
        <v>878959905</v>
      </c>
      <c r="L244" s="10">
        <f t="shared" si="131"/>
        <v>232169014</v>
      </c>
      <c r="M244" s="10">
        <f>+K244+L244</f>
        <v>1111128919</v>
      </c>
      <c r="N244" s="169">
        <f>+M244/F244</f>
        <v>0.48309953</v>
      </c>
      <c r="O244" s="10">
        <f>+F244-M244</f>
        <v>1188871081</v>
      </c>
      <c r="P244" s="77"/>
      <c r="Q244" s="6" t="str">
        <f t="shared" ref="Q244:Q307" si="132">IF(M244&lt;=I244,"OKE","Salah")</f>
        <v>OKE</v>
      </c>
      <c r="R244" s="6"/>
    </row>
    <row r="245" spans="1:19" ht="15.95" customHeight="1" x14ac:dyDescent="0.2">
      <c r="A245" s="74"/>
      <c r="B245" s="74"/>
      <c r="C245" s="76"/>
      <c r="D245" s="15"/>
      <c r="E245" s="15"/>
      <c r="F245" s="15"/>
      <c r="G245" s="80"/>
      <c r="H245" s="79"/>
      <c r="I245" s="80"/>
      <c r="J245" s="86"/>
      <c r="K245" s="80"/>
      <c r="L245" s="76"/>
      <c r="M245" s="76"/>
      <c r="N245" s="86"/>
      <c r="O245" s="10"/>
      <c r="P245" s="77"/>
      <c r="Q245" s="6"/>
      <c r="R245" s="6"/>
    </row>
    <row r="246" spans="1:19" ht="15.95" customHeight="1" x14ac:dyDescent="0.2">
      <c r="A246" s="74">
        <v>16</v>
      </c>
      <c r="B246" s="207" t="s">
        <v>185</v>
      </c>
      <c r="C246" s="457" t="s">
        <v>184</v>
      </c>
      <c r="D246" s="13">
        <v>2100000000</v>
      </c>
      <c r="E246" s="14"/>
      <c r="F246" s="13">
        <f>+D246+E246</f>
        <v>2100000000</v>
      </c>
      <c r="G246" s="80">
        <f>+juni!I248</f>
        <v>777757950</v>
      </c>
      <c r="H246" s="79">
        <f>35781315+45969000+119360854</f>
        <v>201111169</v>
      </c>
      <c r="I246" s="15">
        <f>+G246+H246</f>
        <v>978869119</v>
      </c>
      <c r="J246" s="143">
        <f>+I246/F246</f>
        <v>0.46612815190476192</v>
      </c>
      <c r="K246" s="80">
        <f>+juni!M248</f>
        <v>776657105</v>
      </c>
      <c r="L246" s="80">
        <f>35781315+45969000+120461699</f>
        <v>202212014</v>
      </c>
      <c r="M246" s="80">
        <f>+K246+L246</f>
        <v>978869119</v>
      </c>
      <c r="N246" s="171">
        <f>+M246/F246</f>
        <v>0.46612815190476192</v>
      </c>
      <c r="O246" s="15">
        <f>+F246-M246</f>
        <v>1121130881</v>
      </c>
      <c r="P246" s="77"/>
      <c r="Q246" s="6" t="str">
        <f t="shared" si="132"/>
        <v>OKE</v>
      </c>
      <c r="R246" s="6"/>
    </row>
    <row r="247" spans="1:19" ht="21" customHeight="1" x14ac:dyDescent="0.2">
      <c r="A247" s="74"/>
      <c r="B247" s="29"/>
      <c r="C247" s="457"/>
      <c r="D247" s="13"/>
      <c r="E247" s="14"/>
      <c r="F247" s="13"/>
      <c r="G247" s="78"/>
      <c r="H247" s="79"/>
      <c r="I247" s="15"/>
      <c r="J247" s="143"/>
      <c r="K247" s="80"/>
      <c r="L247" s="80"/>
      <c r="M247" s="80"/>
      <c r="N247" s="171"/>
      <c r="O247" s="15"/>
      <c r="P247" s="77"/>
      <c r="Q247" s="6"/>
      <c r="R247" s="6"/>
    </row>
    <row r="248" spans="1:19" ht="30.75" customHeight="1" x14ac:dyDescent="0.2">
      <c r="A248" s="74">
        <v>17</v>
      </c>
      <c r="B248" s="207" t="s">
        <v>186</v>
      </c>
      <c r="C248" s="276" t="s">
        <v>187</v>
      </c>
      <c r="D248" s="213">
        <v>200000000</v>
      </c>
      <c r="E248" s="14"/>
      <c r="F248" s="13">
        <f>+D248+E248</f>
        <v>200000000</v>
      </c>
      <c r="G248" s="80">
        <f>+juni!I250</f>
        <v>102302800</v>
      </c>
      <c r="H248" s="79">
        <f>28794000+1163000</f>
        <v>29957000</v>
      </c>
      <c r="I248" s="15">
        <f>+G248+H248</f>
        <v>132259800</v>
      </c>
      <c r="J248" s="143">
        <f>+I248/F248</f>
        <v>0.66129899999999997</v>
      </c>
      <c r="K248" s="80">
        <f>+juni!M250</f>
        <v>102302800</v>
      </c>
      <c r="L248" s="80">
        <f>28794000+1163000</f>
        <v>29957000</v>
      </c>
      <c r="M248" s="80">
        <f>+K248+L248</f>
        <v>132259800</v>
      </c>
      <c r="N248" s="171">
        <f>+M248/F248</f>
        <v>0.66129899999999997</v>
      </c>
      <c r="O248" s="15">
        <f>+F248-M248</f>
        <v>67740200</v>
      </c>
      <c r="P248" s="77"/>
      <c r="Q248" s="6" t="str">
        <f t="shared" ref="Q248" si="133">IF(M248&lt;=I248,"OKE","Salah")</f>
        <v>OKE</v>
      </c>
      <c r="R248" s="6"/>
    </row>
    <row r="249" spans="1:19" ht="15.95" customHeight="1" x14ac:dyDescent="0.2">
      <c r="A249" s="74"/>
      <c r="B249" s="74"/>
      <c r="C249" s="76"/>
      <c r="D249" s="15"/>
      <c r="E249" s="15"/>
      <c r="F249" s="15"/>
      <c r="G249" s="80"/>
      <c r="H249" s="79"/>
      <c r="I249" s="80"/>
      <c r="J249" s="86"/>
      <c r="K249" s="80"/>
      <c r="L249" s="76"/>
      <c r="M249" s="76"/>
      <c r="N249" s="86"/>
      <c r="O249" s="10"/>
      <c r="P249" s="77"/>
      <c r="Q249" s="6"/>
      <c r="R249" s="6"/>
      <c r="S249" s="309">
        <f>+S462+S466</f>
        <v>1571271599</v>
      </c>
    </row>
    <row r="250" spans="1:19" ht="20.25" customHeight="1" x14ac:dyDescent="0.2">
      <c r="A250" s="139"/>
      <c r="B250" s="139"/>
      <c r="C250" s="140" t="s">
        <v>113</v>
      </c>
      <c r="D250" s="141">
        <f>SUM(D246:D248)</f>
        <v>2300000000</v>
      </c>
      <c r="E250" s="141">
        <f t="shared" ref="E250" si="134">SUM(E246:E248)</f>
        <v>0</v>
      </c>
      <c r="F250" s="141">
        <f>+D250+E250</f>
        <v>2300000000</v>
      </c>
      <c r="G250" s="141">
        <f>SUM(G246:G248)</f>
        <v>880060750</v>
      </c>
      <c r="H250" s="141">
        <f>SUM(H246:H248)</f>
        <v>231068169</v>
      </c>
      <c r="I250" s="141">
        <f>+G250+H250</f>
        <v>1111128919</v>
      </c>
      <c r="J250" s="176">
        <f>+I250/F250</f>
        <v>0.48309953</v>
      </c>
      <c r="K250" s="141">
        <f t="shared" ref="K250:L250" si="135">SUM(K246:K248)</f>
        <v>878959905</v>
      </c>
      <c r="L250" s="141">
        <f t="shared" si="135"/>
        <v>232169014</v>
      </c>
      <c r="M250" s="141">
        <f>+M246+M248</f>
        <v>1111128919</v>
      </c>
      <c r="N250" s="173">
        <f>+M250/F250</f>
        <v>0.48309953</v>
      </c>
      <c r="O250" s="141">
        <f>+D250-M250</f>
        <v>1188871081</v>
      </c>
      <c r="P250" s="77"/>
      <c r="Q250" s="6" t="str">
        <f t="shared" si="132"/>
        <v>OKE</v>
      </c>
      <c r="R250" s="6"/>
    </row>
    <row r="251" spans="1:19" ht="8.25" customHeight="1" x14ac:dyDescent="0.2">
      <c r="A251" s="74"/>
      <c r="B251" s="74"/>
      <c r="C251" s="9"/>
      <c r="D251" s="10"/>
      <c r="E251" s="10"/>
      <c r="F251" s="10"/>
      <c r="G251" s="10"/>
      <c r="H251" s="10"/>
      <c r="I251" s="10"/>
      <c r="J251" s="168"/>
      <c r="K251" s="10"/>
      <c r="L251" s="10"/>
      <c r="M251" s="10"/>
      <c r="N251" s="169"/>
      <c r="O251" s="10"/>
      <c r="P251" s="77"/>
      <c r="Q251" s="6"/>
      <c r="R251" s="6"/>
    </row>
    <row r="252" spans="1:19" ht="15.95" customHeight="1" x14ac:dyDescent="0.2">
      <c r="A252" s="74"/>
      <c r="B252" s="74"/>
      <c r="C252" s="9"/>
      <c r="D252" s="10"/>
      <c r="E252" s="10"/>
      <c r="F252" s="10"/>
      <c r="G252" s="10"/>
      <c r="H252" s="11"/>
      <c r="I252" s="10"/>
      <c r="J252" s="176"/>
      <c r="K252" s="10"/>
      <c r="L252" s="10"/>
      <c r="M252" s="10"/>
      <c r="N252" s="169"/>
      <c r="O252" s="10"/>
      <c r="P252" s="77"/>
      <c r="Q252" s="6"/>
      <c r="R252" s="6"/>
      <c r="S252" s="190">
        <f>+S462+S466</f>
        <v>1571271599</v>
      </c>
    </row>
    <row r="253" spans="1:19" ht="11.25" customHeight="1" x14ac:dyDescent="0.2">
      <c r="A253" s="388"/>
      <c r="B253" s="388"/>
      <c r="C253" s="395" t="s">
        <v>76</v>
      </c>
      <c r="D253" s="364">
        <f>+D198+D212+D226+D236+D242+D250+D190</f>
        <v>12324425000</v>
      </c>
      <c r="E253" s="364">
        <f>+E212+E226+E236+E250</f>
        <v>0</v>
      </c>
      <c r="F253" s="364">
        <f>+D253+E253</f>
        <v>12324425000</v>
      </c>
      <c r="G253" s="455">
        <f>+G198+G212+G226+G236+G242+G250+G190+G218</f>
        <v>5883332060</v>
      </c>
      <c r="H253" s="364">
        <f>+H198+H212+H226+H236+H242+H250+H218+H190</f>
        <v>1301660353</v>
      </c>
      <c r="I253" s="364">
        <f>+G253+H253</f>
        <v>7184992413</v>
      </c>
      <c r="J253" s="408">
        <f>+I253/F253</f>
        <v>0.58298804309328833</v>
      </c>
      <c r="K253" s="455">
        <f>+K198+K212+K226+K236+K242+K250</f>
        <v>5866789965</v>
      </c>
      <c r="L253" s="364">
        <f>+L198+L212+L226+L236+L242+L250+L218+L190</f>
        <v>1300893915</v>
      </c>
      <c r="M253" s="364">
        <f>+K253+L253</f>
        <v>7167683880</v>
      </c>
      <c r="N253" s="366">
        <f>+M253/F253</f>
        <v>0.58158363412491865</v>
      </c>
      <c r="O253" s="364">
        <f>+F253-M253</f>
        <v>5156741120</v>
      </c>
      <c r="P253" s="77"/>
      <c r="Q253" s="6" t="str">
        <f t="shared" si="132"/>
        <v>OKE</v>
      </c>
      <c r="R253" s="6"/>
    </row>
    <row r="254" spans="1:19" ht="15" thickBot="1" x14ac:dyDescent="0.25">
      <c r="A254" s="389"/>
      <c r="B254" s="389"/>
      <c r="C254" s="396"/>
      <c r="D254" s="396"/>
      <c r="E254" s="396"/>
      <c r="F254" s="396"/>
      <c r="G254" s="456"/>
      <c r="H254" s="396"/>
      <c r="I254" s="396"/>
      <c r="J254" s="409"/>
      <c r="K254" s="456"/>
      <c r="L254" s="396"/>
      <c r="M254" s="396"/>
      <c r="N254" s="367"/>
      <c r="O254" s="396"/>
      <c r="P254" s="83"/>
      <c r="Q254" s="6" t="str">
        <f t="shared" si="132"/>
        <v>OKE</v>
      </c>
      <c r="R254" s="6"/>
      <c r="S254" s="190">
        <f>+S475-245000</f>
        <v>711230507</v>
      </c>
    </row>
    <row r="255" spans="1:19" ht="15" hidden="1" thickBot="1" x14ac:dyDescent="0.25">
      <c r="B255" s="88"/>
      <c r="C255" s="77"/>
      <c r="D255" s="31"/>
      <c r="E255" s="31"/>
      <c r="F255" s="31"/>
      <c r="G255" s="179"/>
      <c r="H255" s="258"/>
      <c r="I255" s="179"/>
      <c r="J255" s="179"/>
      <c r="K255" s="179"/>
      <c r="L255" s="77"/>
      <c r="M255" s="77"/>
      <c r="N255" s="77"/>
      <c r="O255" s="77"/>
      <c r="P255" s="77"/>
      <c r="Q255" s="6" t="str">
        <f t="shared" si="132"/>
        <v>OKE</v>
      </c>
      <c r="R255" s="6"/>
    </row>
    <row r="256" spans="1:19" ht="15" hidden="1" thickBot="1" x14ac:dyDescent="0.25">
      <c r="B256" s="88"/>
      <c r="C256" s="77"/>
      <c r="D256" s="31"/>
      <c r="E256" s="31"/>
      <c r="F256" s="31"/>
      <c r="G256" s="179"/>
      <c r="H256" s="258"/>
      <c r="I256" s="179"/>
      <c r="J256" s="179"/>
      <c r="K256" s="179"/>
      <c r="L256" s="77"/>
      <c r="M256" s="77"/>
      <c r="N256" s="77"/>
      <c r="O256" s="77"/>
      <c r="P256" s="77"/>
      <c r="Q256" s="6" t="str">
        <f t="shared" si="132"/>
        <v>OKE</v>
      </c>
      <c r="R256" s="6"/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2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2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2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2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2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2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2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2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2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2"/>
        <v>OKE</v>
      </c>
      <c r="R266" s="6"/>
    </row>
    <row r="267" spans="1:18" ht="14.1" hidden="1" customHeight="1" x14ac:dyDescent="0.2">
      <c r="A267" s="410" t="s">
        <v>0</v>
      </c>
      <c r="B267" s="410"/>
      <c r="C267" s="410"/>
      <c r="D267" s="410"/>
      <c r="E267" s="410"/>
      <c r="F267" s="410"/>
      <c r="G267" s="410"/>
      <c r="H267" s="410"/>
      <c r="I267" s="410"/>
      <c r="J267" s="410"/>
      <c r="K267" s="410"/>
      <c r="L267" s="410"/>
      <c r="M267" s="410"/>
      <c r="N267" s="410"/>
      <c r="O267" s="410"/>
      <c r="P267" s="77"/>
      <c r="Q267" s="6" t="str">
        <f t="shared" si="132"/>
        <v>OKE</v>
      </c>
      <c r="R267" s="6"/>
    </row>
    <row r="268" spans="1:18" ht="14.1" hidden="1" customHeight="1" x14ac:dyDescent="0.2">
      <c r="A268" s="410" t="s">
        <v>130</v>
      </c>
      <c r="B268" s="410"/>
      <c r="C268" s="410"/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77"/>
      <c r="Q268" s="6" t="str">
        <f t="shared" si="132"/>
        <v>OKE</v>
      </c>
      <c r="R268" s="6"/>
    </row>
    <row r="269" spans="1:18" ht="14.1" hidden="1" customHeight="1" x14ac:dyDescent="0.2">
      <c r="A269" s="407" t="s">
        <v>131</v>
      </c>
      <c r="B269" s="407"/>
      <c r="C269" s="407"/>
      <c r="D269" s="407"/>
      <c r="E269" s="407"/>
      <c r="F269" s="407"/>
      <c r="G269" s="407"/>
      <c r="H269" s="407"/>
      <c r="I269" s="407"/>
      <c r="J269" s="407"/>
      <c r="K269" s="407"/>
      <c r="L269" s="407"/>
      <c r="M269" s="407"/>
      <c r="N269" s="407"/>
      <c r="O269" s="407"/>
      <c r="P269" s="77"/>
      <c r="Q269" s="6" t="str">
        <f t="shared" si="132"/>
        <v>OKE</v>
      </c>
      <c r="R269" s="6"/>
    </row>
    <row r="270" spans="1:18" ht="14.1" hidden="1" customHeight="1" x14ac:dyDescent="0.2">
      <c r="A270" s="361" t="s">
        <v>2</v>
      </c>
      <c r="B270" s="361" t="s">
        <v>3</v>
      </c>
      <c r="C270" s="361" t="s">
        <v>4</v>
      </c>
      <c r="D270" s="361" t="s">
        <v>5</v>
      </c>
      <c r="E270" s="197"/>
      <c r="F270" s="197"/>
      <c r="G270" s="358" t="s">
        <v>11</v>
      </c>
      <c r="H270" s="359"/>
      <c r="I270" s="359"/>
      <c r="J270" s="360"/>
      <c r="K270" s="358" t="s">
        <v>9</v>
      </c>
      <c r="L270" s="359"/>
      <c r="M270" s="359"/>
      <c r="N270" s="360"/>
      <c r="O270" s="361" t="s">
        <v>10</v>
      </c>
      <c r="P270" s="77"/>
      <c r="Q270" s="6" t="str">
        <f t="shared" si="132"/>
        <v>OKE</v>
      </c>
      <c r="R270" s="6"/>
    </row>
    <row r="271" spans="1:18" ht="14.1" hidden="1" customHeight="1" x14ac:dyDescent="0.2">
      <c r="A271" s="362"/>
      <c r="B271" s="362"/>
      <c r="C271" s="362"/>
      <c r="D271" s="362"/>
      <c r="E271" s="44"/>
      <c r="F271" s="44"/>
      <c r="G271" s="358" t="s">
        <v>74</v>
      </c>
      <c r="H271" s="359"/>
      <c r="I271" s="359"/>
      <c r="J271" s="360"/>
      <c r="K271" s="358" t="s">
        <v>12</v>
      </c>
      <c r="L271" s="359"/>
      <c r="M271" s="359"/>
      <c r="N271" s="360"/>
      <c r="O271" s="362"/>
      <c r="P271" s="77"/>
      <c r="Q271" s="6" t="str">
        <f t="shared" si="132"/>
        <v>OKE</v>
      </c>
      <c r="R271" s="6"/>
    </row>
    <row r="272" spans="1:18" ht="15" hidden="1" thickBot="1" x14ac:dyDescent="0.25">
      <c r="A272" s="363"/>
      <c r="B272" s="363"/>
      <c r="C272" s="363"/>
      <c r="D272" s="363"/>
      <c r="E272" s="196"/>
      <c r="F272" s="196"/>
      <c r="G272" s="144" t="s">
        <v>13</v>
      </c>
      <c r="H272" s="145" t="s">
        <v>14</v>
      </c>
      <c r="I272" s="144" t="s">
        <v>15</v>
      </c>
      <c r="J272" s="144" t="s">
        <v>16</v>
      </c>
      <c r="K272" s="144" t="s">
        <v>13</v>
      </c>
      <c r="L272" s="144" t="s">
        <v>14</v>
      </c>
      <c r="M272" s="144" t="s">
        <v>15</v>
      </c>
      <c r="N272" s="144" t="s">
        <v>16</v>
      </c>
      <c r="O272" s="363"/>
      <c r="P272" s="77"/>
      <c r="Q272" s="6" t="str">
        <f t="shared" si="132"/>
        <v>OKE</v>
      </c>
      <c r="R272" s="6"/>
    </row>
    <row r="273" spans="1:18" ht="15" hidden="1" thickBot="1" x14ac:dyDescent="0.25">
      <c r="A273" s="2">
        <v>1</v>
      </c>
      <c r="B273" s="2">
        <v>2</v>
      </c>
      <c r="C273" s="2">
        <v>3</v>
      </c>
      <c r="D273" s="2">
        <v>4</v>
      </c>
      <c r="E273" s="2"/>
      <c r="F273" s="2"/>
      <c r="G273" s="2">
        <v>5</v>
      </c>
      <c r="H273" s="145">
        <v>6</v>
      </c>
      <c r="I273" s="45" t="s">
        <v>77</v>
      </c>
      <c r="J273" s="45" t="s">
        <v>78</v>
      </c>
      <c r="K273" s="45">
        <v>9</v>
      </c>
      <c r="L273" s="45">
        <v>10</v>
      </c>
      <c r="M273" s="45" t="s">
        <v>79</v>
      </c>
      <c r="N273" s="45" t="s">
        <v>80</v>
      </c>
      <c r="O273" s="45" t="s">
        <v>81</v>
      </c>
      <c r="P273" s="77"/>
      <c r="Q273" s="6" t="str">
        <f t="shared" si="132"/>
        <v>OKE</v>
      </c>
      <c r="R273" s="6"/>
    </row>
    <row r="274" spans="1:18" ht="15" hidden="1" thickBot="1" x14ac:dyDescent="0.25">
      <c r="A274" s="74"/>
      <c r="B274" s="76"/>
      <c r="C274" s="76"/>
      <c r="D274" s="8"/>
      <c r="E274" s="8"/>
      <c r="F274" s="8"/>
      <c r="G274" s="76"/>
      <c r="H274" s="82"/>
      <c r="I274" s="76"/>
      <c r="J274" s="76"/>
      <c r="K274" s="76"/>
      <c r="L274" s="76"/>
      <c r="M274" s="76"/>
      <c r="N274" s="241"/>
      <c r="O274" s="241"/>
      <c r="P274" s="77"/>
      <c r="Q274" s="6" t="str">
        <f t="shared" si="132"/>
        <v>OKE</v>
      </c>
      <c r="R274" s="6"/>
    </row>
    <row r="275" spans="1:18" ht="15" hidden="1" thickBot="1" x14ac:dyDescent="0.25">
      <c r="A275" s="74"/>
      <c r="B275" s="76"/>
      <c r="C275" s="244" t="s">
        <v>82</v>
      </c>
      <c r="D275" s="8"/>
      <c r="E275" s="8"/>
      <c r="F275" s="8"/>
      <c r="G275" s="76"/>
      <c r="H275" s="82"/>
      <c r="I275" s="76"/>
      <c r="J275" s="76"/>
      <c r="K275" s="76"/>
      <c r="L275" s="76"/>
      <c r="M275" s="76"/>
      <c r="N275" s="76"/>
      <c r="O275" s="76"/>
      <c r="P275" s="77"/>
      <c r="Q275" s="6" t="str">
        <f t="shared" si="132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76"/>
      <c r="O276" s="76"/>
      <c r="P276" s="77"/>
      <c r="Q276" s="6" t="str">
        <f t="shared" si="132"/>
        <v>OKE</v>
      </c>
      <c r="R276" s="6"/>
    </row>
    <row r="277" spans="1:18" ht="15" hidden="1" thickBot="1" x14ac:dyDescent="0.25">
      <c r="A277" s="7" t="s">
        <v>22</v>
      </c>
      <c r="B277" s="7" t="s">
        <v>23</v>
      </c>
      <c r="C277" s="9" t="s">
        <v>45</v>
      </c>
      <c r="D277" s="10">
        <f>+D279+D284+D286+D288</f>
        <v>352575000</v>
      </c>
      <c r="E277" s="10"/>
      <c r="F277" s="10"/>
      <c r="G277" s="10">
        <f>+G279+G284+G286+G288</f>
        <v>130595000</v>
      </c>
      <c r="H277" s="11">
        <f>+H279+H284+H286+H288</f>
        <v>200225000</v>
      </c>
      <c r="I277" s="10">
        <f>+G277+H277</f>
        <v>330820000</v>
      </c>
      <c r="J277" s="12">
        <f>+I277/D277</f>
        <v>0.9382968162802241</v>
      </c>
      <c r="K277" s="10">
        <f>+K279+K284+K286+K288</f>
        <v>124051000</v>
      </c>
      <c r="L277" s="10">
        <f>+L279+L284+L286+L288</f>
        <v>199372700</v>
      </c>
      <c r="M277" s="10">
        <f>+K277+L277</f>
        <v>323423700</v>
      </c>
      <c r="N277" s="12">
        <f>+M277/D277</f>
        <v>0.91731886832588816</v>
      </c>
      <c r="O277" s="10">
        <f>+D277-I277</f>
        <v>21755000</v>
      </c>
      <c r="P277" s="77"/>
      <c r="Q277" s="6" t="str">
        <f t="shared" si="132"/>
        <v>OKE</v>
      </c>
      <c r="R277" s="6"/>
    </row>
    <row r="278" spans="1:18" ht="15" hidden="1" thickBot="1" x14ac:dyDescent="0.25">
      <c r="A278" s="74"/>
      <c r="B278" s="74"/>
      <c r="C278" s="76"/>
      <c r="D278" s="15"/>
      <c r="E278" s="15"/>
      <c r="F278" s="15"/>
      <c r="G278" s="80"/>
      <c r="H278" s="79"/>
      <c r="I278" s="80"/>
      <c r="J278" s="80"/>
      <c r="K278" s="80"/>
      <c r="L278" s="76"/>
      <c r="M278" s="76"/>
      <c r="N278" s="76"/>
      <c r="O278" s="76"/>
      <c r="P278" s="77"/>
      <c r="Q278" s="6" t="str">
        <f t="shared" si="132"/>
        <v>OKE</v>
      </c>
      <c r="R278" s="6"/>
    </row>
    <row r="279" spans="1:18" ht="15" hidden="1" thickBot="1" x14ac:dyDescent="0.25">
      <c r="A279" s="74">
        <v>1</v>
      </c>
      <c r="B279" s="75" t="s">
        <v>39</v>
      </c>
      <c r="C279" s="76" t="s">
        <v>50</v>
      </c>
      <c r="D279" s="15">
        <v>255000000</v>
      </c>
      <c r="E279" s="15"/>
      <c r="F279" s="15"/>
      <c r="G279" s="80">
        <v>68220000</v>
      </c>
      <c r="H279" s="79">
        <v>173020000</v>
      </c>
      <c r="I279" s="15">
        <f>+G279+H279</f>
        <v>241240000</v>
      </c>
      <c r="J279" s="16">
        <f>+I279/D279</f>
        <v>0.94603921568627447</v>
      </c>
      <c r="K279" s="80">
        <v>65540000</v>
      </c>
      <c r="L279" s="80">
        <v>174070000</v>
      </c>
      <c r="M279" s="80">
        <f>+K279+L279</f>
        <v>239610000</v>
      </c>
      <c r="N279" s="16">
        <f>+M279/D279</f>
        <v>0.93964705882352939</v>
      </c>
      <c r="O279" s="80">
        <f>+D279-I279</f>
        <v>13760000</v>
      </c>
      <c r="P279" s="77"/>
      <c r="Q279" s="6" t="str">
        <f t="shared" si="132"/>
        <v>OKE</v>
      </c>
      <c r="R279" s="6"/>
    </row>
    <row r="280" spans="1:18" ht="15" hidden="1" thickBot="1" x14ac:dyDescent="0.25">
      <c r="A280" s="74"/>
      <c r="B280" s="75"/>
      <c r="C280" s="76"/>
      <c r="D280" s="15"/>
      <c r="E280" s="15"/>
      <c r="F280" s="15"/>
      <c r="G280" s="80"/>
      <c r="H280" s="79"/>
      <c r="I280" s="15"/>
      <c r="J280" s="16"/>
      <c r="K280" s="80"/>
      <c r="L280" s="80"/>
      <c r="M280" s="80"/>
      <c r="N280" s="16"/>
      <c r="O280" s="80"/>
      <c r="P280" s="77"/>
      <c r="Q280" s="6" t="str">
        <f t="shared" si="132"/>
        <v>OKE</v>
      </c>
      <c r="R280" s="6"/>
    </row>
    <row r="281" spans="1:18" ht="15" hidden="1" thickBot="1" x14ac:dyDescent="0.25">
      <c r="A281" s="74"/>
      <c r="B281" s="18" t="s">
        <v>24</v>
      </c>
      <c r="C281" s="19" t="s">
        <v>25</v>
      </c>
      <c r="D281" s="20">
        <v>44275000</v>
      </c>
      <c r="E281" s="20"/>
      <c r="F281" s="20"/>
      <c r="G281" s="20">
        <v>33022500</v>
      </c>
      <c r="H281" s="21">
        <v>2527500</v>
      </c>
      <c r="I281" s="20">
        <f>+G281+H281</f>
        <v>35550000</v>
      </c>
      <c r="J281" s="22">
        <f>+I281/D281</f>
        <v>0.80293619424054208</v>
      </c>
      <c r="K281" s="20">
        <v>27217500</v>
      </c>
      <c r="L281" s="20">
        <v>0</v>
      </c>
      <c r="M281" s="20">
        <f>+K281+L281</f>
        <v>27217500</v>
      </c>
      <c r="N281" s="22">
        <f>+M281/D281</f>
        <v>0.61473743647656687</v>
      </c>
      <c r="O281" s="20">
        <f>+D281-I281</f>
        <v>8725000</v>
      </c>
      <c r="P281" s="77"/>
      <c r="Q281" s="6" t="str">
        <f t="shared" si="132"/>
        <v>OKE</v>
      </c>
      <c r="R281" s="6"/>
    </row>
    <row r="282" spans="1:18" ht="15" hidden="1" thickBot="1" x14ac:dyDescent="0.25">
      <c r="A282" s="74"/>
      <c r="B282" s="18" t="s">
        <v>24</v>
      </c>
      <c r="C282" s="19" t="s">
        <v>28</v>
      </c>
      <c r="D282" s="20">
        <v>-11700000</v>
      </c>
      <c r="E282" s="20"/>
      <c r="F282" s="20"/>
      <c r="G282" s="20">
        <v>0</v>
      </c>
      <c r="H282" s="21">
        <v>-8825000</v>
      </c>
      <c r="I282" s="20">
        <f>+G282+H282</f>
        <v>-8825000</v>
      </c>
      <c r="J282" s="22"/>
      <c r="K282" s="20"/>
      <c r="L282" s="20">
        <v>-8825000</v>
      </c>
      <c r="M282" s="20">
        <f>+K282+L282</f>
        <v>-8825000</v>
      </c>
      <c r="N282" s="22"/>
      <c r="O282" s="20"/>
      <c r="P282" s="77"/>
      <c r="Q282" s="6" t="str">
        <f t="shared" si="132"/>
        <v>OKE</v>
      </c>
      <c r="R282" s="6"/>
    </row>
    <row r="283" spans="1:18" ht="15" hidden="1" thickBot="1" x14ac:dyDescent="0.25">
      <c r="A283" s="74"/>
      <c r="B283" s="74"/>
      <c r="C283" s="76"/>
      <c r="D283" s="15"/>
      <c r="E283" s="15"/>
      <c r="F283" s="15"/>
      <c r="G283" s="80"/>
      <c r="H283" s="79"/>
      <c r="I283" s="80"/>
      <c r="J283" s="80"/>
      <c r="K283" s="80"/>
      <c r="L283" s="76"/>
      <c r="M283" s="76"/>
      <c r="N283" s="76"/>
      <c r="O283" s="76"/>
      <c r="P283" s="77"/>
      <c r="Q283" s="6" t="str">
        <f t="shared" si="132"/>
        <v>OKE</v>
      </c>
      <c r="R283" s="6"/>
    </row>
    <row r="284" spans="1:18" ht="15" hidden="1" thickBot="1" x14ac:dyDescent="0.25">
      <c r="A284" s="74">
        <v>2</v>
      </c>
      <c r="B284" s="75" t="s">
        <v>24</v>
      </c>
      <c r="C284" s="76" t="s">
        <v>25</v>
      </c>
      <c r="D284" s="15">
        <v>32575000</v>
      </c>
      <c r="E284" s="15"/>
      <c r="F284" s="15"/>
      <c r="G284" s="80">
        <v>26725000</v>
      </c>
      <c r="H284" s="79">
        <v>5055000</v>
      </c>
      <c r="I284" s="15">
        <f>+G284+H284</f>
        <v>31780000</v>
      </c>
      <c r="J284" s="16">
        <f>+I284/D284</f>
        <v>0.97559478127398314</v>
      </c>
      <c r="K284" s="80">
        <v>23622500</v>
      </c>
      <c r="L284" s="80">
        <v>7757500</v>
      </c>
      <c r="M284" s="80">
        <f>+K284+L284</f>
        <v>31380000</v>
      </c>
      <c r="N284" s="16">
        <f>+M284/D284</f>
        <v>0.96331542594013819</v>
      </c>
      <c r="O284" s="80">
        <f>+D284-I284</f>
        <v>795000</v>
      </c>
      <c r="P284" s="77"/>
      <c r="Q284" s="6" t="str">
        <f t="shared" si="132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93"/>
      <c r="M285" s="76"/>
      <c r="N285" s="76"/>
      <c r="O285" s="76"/>
      <c r="P285" s="77"/>
      <c r="Q285" s="6" t="str">
        <f t="shared" si="132"/>
        <v>OKE</v>
      </c>
      <c r="R285" s="6"/>
    </row>
    <row r="286" spans="1:18" ht="15" hidden="1" thickBot="1" x14ac:dyDescent="0.25">
      <c r="A286" s="74">
        <v>3</v>
      </c>
      <c r="B286" s="75" t="s">
        <v>46</v>
      </c>
      <c r="C286" s="76" t="s">
        <v>47</v>
      </c>
      <c r="D286" s="15">
        <v>25000000</v>
      </c>
      <c r="E286" s="15"/>
      <c r="F286" s="15"/>
      <c r="G286" s="80">
        <v>9400000</v>
      </c>
      <c r="H286" s="79">
        <v>15600000</v>
      </c>
      <c r="I286" s="15">
        <f>+G286+H286</f>
        <v>25000000</v>
      </c>
      <c r="J286" s="16">
        <f>+I286/D286</f>
        <v>1</v>
      </c>
      <c r="K286" s="80">
        <v>9400000</v>
      </c>
      <c r="L286" s="80">
        <v>11703700</v>
      </c>
      <c r="M286" s="80">
        <f>+K286+L286</f>
        <v>21103700</v>
      </c>
      <c r="N286" s="16">
        <f>+M286/D286</f>
        <v>0.84414800000000001</v>
      </c>
      <c r="O286" s="80">
        <f>+D286-I286</f>
        <v>0</v>
      </c>
      <c r="P286" s="77"/>
      <c r="Q286" s="6" t="str">
        <f t="shared" si="132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76"/>
      <c r="M287" s="76"/>
      <c r="N287" s="76"/>
      <c r="O287" s="76"/>
      <c r="P287" s="77"/>
      <c r="Q287" s="6" t="str">
        <f t="shared" si="132"/>
        <v>OKE</v>
      </c>
      <c r="R287" s="6"/>
    </row>
    <row r="288" spans="1:18" ht="15" hidden="1" thickBot="1" x14ac:dyDescent="0.25">
      <c r="A288" s="74">
        <v>4</v>
      </c>
      <c r="B288" s="75" t="s">
        <v>29</v>
      </c>
      <c r="C288" s="76" t="s">
        <v>30</v>
      </c>
      <c r="D288" s="15">
        <v>40000000</v>
      </c>
      <c r="E288" s="15"/>
      <c r="F288" s="15"/>
      <c r="G288" s="80">
        <v>26250000</v>
      </c>
      <c r="H288" s="79">
        <v>6550000</v>
      </c>
      <c r="I288" s="15">
        <f>+G288+H288</f>
        <v>32800000</v>
      </c>
      <c r="J288" s="16">
        <f>+I288/D288</f>
        <v>0.82</v>
      </c>
      <c r="K288" s="80">
        <v>25488500</v>
      </c>
      <c r="L288" s="80">
        <v>5841500</v>
      </c>
      <c r="M288" s="80">
        <f>+K288+L288</f>
        <v>31330000</v>
      </c>
      <c r="N288" s="16">
        <f>+M288/D288</f>
        <v>0.78325</v>
      </c>
      <c r="O288" s="80">
        <f>+D288-I288</f>
        <v>7200000</v>
      </c>
      <c r="P288" s="77"/>
      <c r="Q288" s="6" t="str">
        <f t="shared" si="132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2"/>
        <v>OKE</v>
      </c>
      <c r="R289" s="6"/>
    </row>
    <row r="290" spans="1:18" ht="15" hidden="1" thickBot="1" x14ac:dyDescent="0.25">
      <c r="A290" s="74"/>
      <c r="B290" s="74"/>
      <c r="C290" s="9" t="s">
        <v>48</v>
      </c>
      <c r="D290" s="10">
        <f>+D288+D286+D284+D279</f>
        <v>352575000</v>
      </c>
      <c r="E290" s="10"/>
      <c r="F290" s="10"/>
      <c r="G290" s="10">
        <f>+G288+G286+G284+G279</f>
        <v>130595000</v>
      </c>
      <c r="H290" s="11">
        <f>+H288+H286+H284+H279</f>
        <v>200225000</v>
      </c>
      <c r="I290" s="10">
        <f>+G290+H290</f>
        <v>330820000</v>
      </c>
      <c r="J290" s="12">
        <f>+I290/D290</f>
        <v>0.9382968162802241</v>
      </c>
      <c r="K290" s="10">
        <f>+K288+K286+K284+K279</f>
        <v>124051000</v>
      </c>
      <c r="L290" s="10">
        <f>+L288+L286+L284+L279</f>
        <v>199372700</v>
      </c>
      <c r="M290" s="10">
        <f>+K290+L290</f>
        <v>323423700</v>
      </c>
      <c r="N290" s="12">
        <f>+M290/D290</f>
        <v>0.91731886832588816</v>
      </c>
      <c r="O290" s="10">
        <f>+D290-I290</f>
        <v>21755000</v>
      </c>
      <c r="P290" s="77"/>
      <c r="Q290" s="6" t="str">
        <f t="shared" si="132"/>
        <v>OKE</v>
      </c>
      <c r="R290" s="6"/>
    </row>
    <row r="291" spans="1:18" ht="15" hidden="1" thickBot="1" x14ac:dyDescent="0.25">
      <c r="A291" s="85"/>
      <c r="B291" s="85"/>
      <c r="C291" s="34" t="s">
        <v>31</v>
      </c>
      <c r="D291" s="35"/>
      <c r="E291" s="35"/>
      <c r="F291" s="35"/>
      <c r="G291" s="259"/>
      <c r="H291" s="260"/>
      <c r="I291" s="259"/>
      <c r="J291" s="259"/>
      <c r="K291" s="259"/>
      <c r="L291" s="261"/>
      <c r="M291" s="261"/>
      <c r="N291" s="261"/>
      <c r="O291" s="261"/>
      <c r="P291" s="77"/>
      <c r="Q291" s="6" t="str">
        <f t="shared" si="132"/>
        <v>OKE</v>
      </c>
      <c r="R291" s="6"/>
    </row>
    <row r="292" spans="1:18" ht="15" hidden="1" thickBot="1" x14ac:dyDescent="0.25">
      <c r="A292" s="74"/>
      <c r="B292" s="74"/>
      <c r="C292" s="76"/>
      <c r="D292" s="15"/>
      <c r="E292" s="15"/>
      <c r="F292" s="15"/>
      <c r="G292" s="80"/>
      <c r="H292" s="79"/>
      <c r="I292" s="80"/>
      <c r="J292" s="80"/>
      <c r="K292" s="80"/>
      <c r="L292" s="76"/>
      <c r="M292" s="76"/>
      <c r="N292" s="76"/>
      <c r="O292" s="76"/>
      <c r="P292" s="77"/>
      <c r="Q292" s="6" t="str">
        <f t="shared" si="132"/>
        <v>OKE</v>
      </c>
      <c r="R292" s="6"/>
    </row>
    <row r="293" spans="1:18" ht="15" hidden="1" thickBot="1" x14ac:dyDescent="0.25">
      <c r="A293" s="7" t="s">
        <v>32</v>
      </c>
      <c r="B293" s="7" t="s">
        <v>33</v>
      </c>
      <c r="C293" s="9" t="s">
        <v>83</v>
      </c>
      <c r="D293" s="10">
        <f>+D296</f>
        <v>75000000</v>
      </c>
      <c r="E293" s="10"/>
      <c r="F293" s="10"/>
      <c r="G293" s="10">
        <f>+G296</f>
        <v>45335300</v>
      </c>
      <c r="H293" s="11">
        <f>+H296</f>
        <v>26800000</v>
      </c>
      <c r="I293" s="10">
        <f>+G293+H293</f>
        <v>72135300</v>
      </c>
      <c r="J293" s="12">
        <f>+I293/D293</f>
        <v>0.96180399999999999</v>
      </c>
      <c r="K293" s="10">
        <f>+K296</f>
        <v>43643800</v>
      </c>
      <c r="L293" s="10">
        <f>+L296</f>
        <v>24769900</v>
      </c>
      <c r="M293" s="10">
        <f>+K293+L293</f>
        <v>68413700</v>
      </c>
      <c r="N293" s="12">
        <f>+M293/D293</f>
        <v>0.9121826666666667</v>
      </c>
      <c r="O293" s="10">
        <f>+D293-I293</f>
        <v>2864700</v>
      </c>
      <c r="P293" s="77"/>
      <c r="Q293" s="6" t="str">
        <f t="shared" si="132"/>
        <v>OKE</v>
      </c>
      <c r="R293" s="6"/>
    </row>
    <row r="294" spans="1:18" ht="15" hidden="1" thickBot="1" x14ac:dyDescent="0.25">
      <c r="A294" s="74"/>
      <c r="B294" s="74"/>
      <c r="C294" s="9" t="s">
        <v>49</v>
      </c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2"/>
        <v>OKE</v>
      </c>
      <c r="R294" s="6"/>
    </row>
    <row r="295" spans="1:18" ht="15" hidden="1" thickBot="1" x14ac:dyDescent="0.25">
      <c r="A295" s="74"/>
      <c r="B295" s="74"/>
      <c r="C295" s="76"/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32"/>
        <v>OKE</v>
      </c>
      <c r="R295" s="6"/>
    </row>
    <row r="296" spans="1:18" ht="15" hidden="1" thickBot="1" x14ac:dyDescent="0.25">
      <c r="A296" s="74">
        <v>5</v>
      </c>
      <c r="B296" s="75" t="s">
        <v>34</v>
      </c>
      <c r="C296" s="8" t="s">
        <v>35</v>
      </c>
      <c r="D296" s="15">
        <v>75000000</v>
      </c>
      <c r="E296" s="15"/>
      <c r="F296" s="15"/>
      <c r="G296" s="80">
        <v>45335300</v>
      </c>
      <c r="H296" s="79">
        <v>26800000</v>
      </c>
      <c r="I296" s="15">
        <f>+G296+H296</f>
        <v>72135300</v>
      </c>
      <c r="J296" s="16">
        <f>+I296/D296</f>
        <v>0.96180399999999999</v>
      </c>
      <c r="K296" s="80">
        <v>43643800</v>
      </c>
      <c r="L296" s="80">
        <v>24769900</v>
      </c>
      <c r="M296" s="80">
        <f>+K296+L296</f>
        <v>68413700</v>
      </c>
      <c r="N296" s="16">
        <f>+M296/D296</f>
        <v>0.9121826666666667</v>
      </c>
      <c r="O296" s="80">
        <f>+D296-I296</f>
        <v>2864700</v>
      </c>
      <c r="P296" s="77"/>
      <c r="Q296" s="6" t="str">
        <f t="shared" si="132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2"/>
        <v>OKE</v>
      </c>
      <c r="R297" s="6"/>
    </row>
    <row r="298" spans="1:18" ht="15" hidden="1" thickBot="1" x14ac:dyDescent="0.25">
      <c r="A298" s="74"/>
      <c r="B298" s="74"/>
      <c r="C298" s="9" t="s">
        <v>65</v>
      </c>
      <c r="D298" s="10">
        <f>+D296</f>
        <v>75000000</v>
      </c>
      <c r="E298" s="10"/>
      <c r="F298" s="10"/>
      <c r="G298" s="10">
        <f>+G296</f>
        <v>45335300</v>
      </c>
      <c r="H298" s="11">
        <f>+H296</f>
        <v>26800000</v>
      </c>
      <c r="I298" s="10">
        <f>+G298+H298</f>
        <v>72135300</v>
      </c>
      <c r="J298" s="12">
        <f>+I298/D298</f>
        <v>0.96180399999999999</v>
      </c>
      <c r="K298" s="10">
        <f>+K296</f>
        <v>43643800</v>
      </c>
      <c r="L298" s="10">
        <f>+L296</f>
        <v>24769900</v>
      </c>
      <c r="M298" s="10">
        <f>+K298+L298</f>
        <v>68413700</v>
      </c>
      <c r="N298" s="12">
        <f>+M298/D298</f>
        <v>0.9121826666666667</v>
      </c>
      <c r="O298" s="10">
        <f>+D298-I298</f>
        <v>2864700</v>
      </c>
      <c r="P298" s="77"/>
      <c r="Q298" s="6" t="str">
        <f t="shared" si="132"/>
        <v>OKE</v>
      </c>
      <c r="R298" s="6"/>
    </row>
    <row r="299" spans="1:18" ht="15" hidden="1" thickBot="1" x14ac:dyDescent="0.25">
      <c r="A299" s="81"/>
      <c r="B299" s="81"/>
      <c r="C299" s="23" t="s">
        <v>66</v>
      </c>
      <c r="D299" s="32"/>
      <c r="E299" s="32"/>
      <c r="F299" s="32"/>
      <c r="G299" s="252"/>
      <c r="H299" s="253"/>
      <c r="I299" s="252"/>
      <c r="J299" s="252"/>
      <c r="K299" s="252"/>
      <c r="L299" s="251"/>
      <c r="M299" s="251"/>
      <c r="N299" s="251"/>
      <c r="O299" s="251"/>
      <c r="P299" s="77"/>
      <c r="Q299" s="6" t="str">
        <f t="shared" si="132"/>
        <v>OKE</v>
      </c>
      <c r="R299" s="6"/>
    </row>
    <row r="300" spans="1:18" ht="15" hidden="1" thickBot="1" x14ac:dyDescent="0.25">
      <c r="B300" s="88"/>
      <c r="C300" s="77"/>
      <c r="D300" s="31"/>
      <c r="E300" s="31"/>
      <c r="F300" s="31"/>
      <c r="G300" s="179"/>
      <c r="H300" s="258"/>
      <c r="I300" s="179"/>
      <c r="J300" s="179"/>
      <c r="K300" s="179"/>
      <c r="L300" s="77"/>
      <c r="M300" s="77"/>
      <c r="N300" s="77"/>
      <c r="O300" s="77"/>
      <c r="P300" s="77"/>
      <c r="Q300" s="6" t="str">
        <f t="shared" si="132"/>
        <v>OKE</v>
      </c>
      <c r="R300" s="6"/>
    </row>
    <row r="301" spans="1:18" ht="15" hidden="1" thickBot="1" x14ac:dyDescent="0.25">
      <c r="B301" s="88"/>
      <c r="C301" s="77"/>
      <c r="D301" s="31"/>
      <c r="E301" s="31"/>
      <c r="F301" s="31"/>
      <c r="G301" s="179"/>
      <c r="H301" s="258"/>
      <c r="I301" s="179"/>
      <c r="J301" s="179"/>
      <c r="K301" s="179"/>
      <c r="L301" s="77"/>
      <c r="M301" s="77"/>
      <c r="N301" s="77"/>
      <c r="O301" s="77"/>
      <c r="P301" s="77"/>
      <c r="Q301" s="6" t="str">
        <f t="shared" si="132"/>
        <v>OKE</v>
      </c>
      <c r="R301" s="6"/>
    </row>
    <row r="302" spans="1:18" ht="15" hidden="1" thickBot="1" x14ac:dyDescent="0.25">
      <c r="A302" s="77"/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2"/>
        <v>OKE</v>
      </c>
      <c r="R302" s="6"/>
    </row>
    <row r="303" spans="1:18" ht="15" hidden="1" thickBot="1" x14ac:dyDescent="0.25">
      <c r="A303" s="77"/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2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2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2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2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2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ref="Q308:Q371" si="136">IF(M308&lt;=I308,"OKE","Salah")</f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6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36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36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36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36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36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36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36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36"/>
        <v>OKE</v>
      </c>
      <c r="R317" s="6"/>
    </row>
    <row r="318" spans="1:18" ht="15" hidden="1" thickBot="1" x14ac:dyDescent="0.25"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36"/>
        <v>OKE</v>
      </c>
      <c r="R318" s="6"/>
    </row>
    <row r="319" spans="1:18" ht="15" hidden="1" thickBot="1" x14ac:dyDescent="0.25"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36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36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36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36"/>
        <v>OKE</v>
      </c>
      <c r="R322" s="6"/>
    </row>
    <row r="323" spans="1:18" ht="15" hidden="1" thickBot="1" x14ac:dyDescent="0.25">
      <c r="A323" s="407"/>
      <c r="B323" s="407"/>
      <c r="C323" s="407"/>
      <c r="D323" s="407"/>
      <c r="E323" s="407"/>
      <c r="F323" s="407"/>
      <c r="G323" s="407"/>
      <c r="H323" s="407"/>
      <c r="I323" s="407"/>
      <c r="J323" s="407"/>
      <c r="K323" s="407"/>
      <c r="L323" s="407"/>
      <c r="M323" s="407"/>
      <c r="N323" s="407"/>
      <c r="O323" s="407"/>
      <c r="P323" s="77"/>
      <c r="Q323" s="6" t="str">
        <f t="shared" si="136"/>
        <v>OKE</v>
      </c>
      <c r="R323" s="6"/>
    </row>
    <row r="324" spans="1:18" ht="14.1" hidden="1" customHeight="1" x14ac:dyDescent="0.2">
      <c r="A324" s="361" t="s">
        <v>2</v>
      </c>
      <c r="B324" s="361" t="s">
        <v>3</v>
      </c>
      <c r="C324" s="361" t="s">
        <v>4</v>
      </c>
      <c r="D324" s="361" t="s">
        <v>5</v>
      </c>
      <c r="E324" s="197"/>
      <c r="F324" s="197"/>
      <c r="G324" s="358" t="s">
        <v>11</v>
      </c>
      <c r="H324" s="359"/>
      <c r="I324" s="359"/>
      <c r="J324" s="360"/>
      <c r="K324" s="358" t="s">
        <v>9</v>
      </c>
      <c r="L324" s="359"/>
      <c r="M324" s="359"/>
      <c r="N324" s="360"/>
      <c r="O324" s="361" t="s">
        <v>10</v>
      </c>
      <c r="P324" s="77"/>
      <c r="Q324" s="6" t="str">
        <f t="shared" si="136"/>
        <v>OKE</v>
      </c>
      <c r="R324" s="6"/>
    </row>
    <row r="325" spans="1:18" ht="14.1" hidden="1" customHeight="1" x14ac:dyDescent="0.2">
      <c r="A325" s="362"/>
      <c r="B325" s="362"/>
      <c r="C325" s="362"/>
      <c r="D325" s="362"/>
      <c r="E325" s="44"/>
      <c r="F325" s="44"/>
      <c r="G325" s="358" t="s">
        <v>74</v>
      </c>
      <c r="H325" s="359"/>
      <c r="I325" s="359"/>
      <c r="J325" s="360"/>
      <c r="K325" s="358" t="s">
        <v>12</v>
      </c>
      <c r="L325" s="359"/>
      <c r="M325" s="359"/>
      <c r="N325" s="360"/>
      <c r="O325" s="362"/>
      <c r="P325" s="77"/>
      <c r="Q325" s="6" t="str">
        <f t="shared" si="136"/>
        <v>OKE</v>
      </c>
      <c r="R325" s="6"/>
    </row>
    <row r="326" spans="1:18" ht="15" hidden="1" thickBot="1" x14ac:dyDescent="0.25">
      <c r="A326" s="378"/>
      <c r="B326" s="378"/>
      <c r="C326" s="378"/>
      <c r="D326" s="378"/>
      <c r="E326" s="196"/>
      <c r="F326" s="196"/>
      <c r="G326" s="144" t="s">
        <v>13</v>
      </c>
      <c r="H326" s="145" t="s">
        <v>14</v>
      </c>
      <c r="I326" s="144" t="s">
        <v>15</v>
      </c>
      <c r="J326" s="144" t="s">
        <v>16</v>
      </c>
      <c r="K326" s="144" t="s">
        <v>13</v>
      </c>
      <c r="L326" s="144" t="s">
        <v>14</v>
      </c>
      <c r="M326" s="144" t="s">
        <v>15</v>
      </c>
      <c r="N326" s="144" t="s">
        <v>16</v>
      </c>
      <c r="O326" s="378"/>
      <c r="P326" s="77"/>
      <c r="Q326" s="6" t="str">
        <f t="shared" si="136"/>
        <v>OKE</v>
      </c>
      <c r="R326" s="6"/>
    </row>
    <row r="327" spans="1:18" ht="15" hidden="1" thickBot="1" x14ac:dyDescent="0.25">
      <c r="A327" s="2">
        <v>1</v>
      </c>
      <c r="B327" s="2">
        <v>2</v>
      </c>
      <c r="C327" s="2">
        <v>3</v>
      </c>
      <c r="D327" s="2">
        <v>4</v>
      </c>
      <c r="E327" s="2"/>
      <c r="F327" s="2"/>
      <c r="G327" s="2">
        <v>5</v>
      </c>
      <c r="H327" s="145">
        <v>6</v>
      </c>
      <c r="I327" s="45" t="s">
        <v>77</v>
      </c>
      <c r="J327" s="45" t="s">
        <v>78</v>
      </c>
      <c r="K327" s="45">
        <v>9</v>
      </c>
      <c r="L327" s="45">
        <v>10</v>
      </c>
      <c r="M327" s="45" t="s">
        <v>79</v>
      </c>
      <c r="N327" s="45" t="s">
        <v>80</v>
      </c>
      <c r="O327" s="45" t="s">
        <v>81</v>
      </c>
      <c r="P327" s="77"/>
      <c r="Q327" s="6" t="str">
        <f t="shared" si="136"/>
        <v>OKE</v>
      </c>
      <c r="R327" s="6"/>
    </row>
    <row r="328" spans="1:18" ht="15" hidden="1" thickBot="1" x14ac:dyDescent="0.25">
      <c r="A328" s="74"/>
      <c r="B328" s="76"/>
      <c r="C328" s="76"/>
      <c r="D328" s="8"/>
      <c r="E328" s="8"/>
      <c r="F328" s="8"/>
      <c r="G328" s="76"/>
      <c r="H328" s="82"/>
      <c r="I328" s="76"/>
      <c r="J328" s="76"/>
      <c r="K328" s="76"/>
      <c r="L328" s="76"/>
      <c r="M328" s="76"/>
      <c r="N328" s="241"/>
      <c r="O328" s="241"/>
      <c r="P328" s="77"/>
      <c r="Q328" s="6" t="str">
        <f t="shared" si="136"/>
        <v>OKE</v>
      </c>
      <c r="R328" s="6"/>
    </row>
    <row r="329" spans="1:18" ht="15" hidden="1" thickBot="1" x14ac:dyDescent="0.25">
      <c r="A329" s="74"/>
      <c r="B329" s="76"/>
      <c r="C329" s="244" t="s">
        <v>82</v>
      </c>
      <c r="D329" s="8"/>
      <c r="E329" s="8"/>
      <c r="F329" s="8"/>
      <c r="G329" s="76"/>
      <c r="H329" s="82"/>
      <c r="I329" s="76"/>
      <c r="J329" s="76"/>
      <c r="K329" s="76"/>
      <c r="L329" s="76"/>
      <c r="M329" s="76"/>
      <c r="N329" s="76"/>
      <c r="O329" s="76"/>
      <c r="P329" s="77"/>
      <c r="Q329" s="6" t="str">
        <f t="shared" si="136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76"/>
      <c r="O330" s="76"/>
      <c r="P330" s="77"/>
      <c r="Q330" s="6" t="str">
        <f t="shared" si="136"/>
        <v>OKE</v>
      </c>
      <c r="R330" s="6"/>
    </row>
    <row r="331" spans="1:18" ht="15" hidden="1" thickBot="1" x14ac:dyDescent="0.25">
      <c r="A331" s="7" t="s">
        <v>38</v>
      </c>
      <c r="B331" s="7" t="s">
        <v>75</v>
      </c>
      <c r="C331" s="9" t="s">
        <v>84</v>
      </c>
      <c r="D331" s="10">
        <f>+D334+D337+D339+D341</f>
        <v>253000000</v>
      </c>
      <c r="E331" s="10"/>
      <c r="F331" s="10"/>
      <c r="G331" s="10">
        <f>+G334+G337+G339+G341</f>
        <v>196063600</v>
      </c>
      <c r="H331" s="11">
        <f>+H334+H337+H339+H341</f>
        <v>54435500</v>
      </c>
      <c r="I331" s="10">
        <f>+G331+H331</f>
        <v>250499100</v>
      </c>
      <c r="J331" s="12">
        <f>+I331/D331</f>
        <v>0.99011501976284588</v>
      </c>
      <c r="K331" s="10">
        <f>+K334+K337+K339+K341</f>
        <v>195569100</v>
      </c>
      <c r="L331" s="10">
        <f>+L334+L337+L339+L341</f>
        <v>54908000</v>
      </c>
      <c r="M331" s="10">
        <f>+K331+L331</f>
        <v>250477100</v>
      </c>
      <c r="N331" s="12">
        <f>+M331/D331</f>
        <v>0.9900280632411067</v>
      </c>
      <c r="O331" s="10">
        <f>+D331-I331</f>
        <v>2500900</v>
      </c>
      <c r="P331" s="77"/>
      <c r="Q331" s="6" t="str">
        <f t="shared" si="136"/>
        <v>OKE</v>
      </c>
      <c r="R331" s="6"/>
    </row>
    <row r="332" spans="1:18" ht="15" hidden="1" thickBot="1" x14ac:dyDescent="0.25">
      <c r="A332" s="74"/>
      <c r="B332" s="74"/>
      <c r="C332" s="9" t="s">
        <v>85</v>
      </c>
      <c r="D332" s="15"/>
      <c r="E332" s="15"/>
      <c r="F332" s="15"/>
      <c r="G332" s="80"/>
      <c r="H332" s="79"/>
      <c r="I332" s="80"/>
      <c r="J332" s="80"/>
      <c r="K332" s="80"/>
      <c r="L332" s="76"/>
      <c r="M332" s="76"/>
      <c r="N332" s="76"/>
      <c r="O332" s="76"/>
      <c r="P332" s="77"/>
      <c r="Q332" s="6" t="str">
        <f t="shared" si="136"/>
        <v>OKE</v>
      </c>
      <c r="R332" s="6"/>
    </row>
    <row r="333" spans="1:18" ht="15" hidden="1" thickBot="1" x14ac:dyDescent="0.25">
      <c r="A333" s="74"/>
      <c r="B333" s="74"/>
      <c r="C333" s="76"/>
      <c r="D333" s="15"/>
      <c r="E333" s="15"/>
      <c r="F333" s="15"/>
      <c r="G333" s="80"/>
      <c r="H333" s="79"/>
      <c r="I333" s="80"/>
      <c r="J333" s="80"/>
      <c r="K333" s="80"/>
      <c r="L333" s="76"/>
      <c r="M333" s="76"/>
      <c r="N333" s="76"/>
      <c r="O333" s="76"/>
      <c r="P333" s="77"/>
      <c r="Q333" s="6" t="str">
        <f t="shared" si="136"/>
        <v>OKE</v>
      </c>
      <c r="R333" s="6"/>
    </row>
    <row r="334" spans="1:18" ht="15" hidden="1" thickBot="1" x14ac:dyDescent="0.25">
      <c r="A334" s="74">
        <v>6</v>
      </c>
      <c r="B334" s="75" t="s">
        <v>39</v>
      </c>
      <c r="C334" s="8" t="s">
        <v>86</v>
      </c>
      <c r="D334" s="15">
        <v>38000000</v>
      </c>
      <c r="E334" s="15"/>
      <c r="F334" s="15"/>
      <c r="G334" s="80">
        <v>37612500</v>
      </c>
      <c r="H334" s="79">
        <v>0</v>
      </c>
      <c r="I334" s="15">
        <f>+G334+H334</f>
        <v>37612500</v>
      </c>
      <c r="J334" s="16">
        <f>+I334/D334</f>
        <v>0.98980263157894732</v>
      </c>
      <c r="K334" s="80">
        <v>37612500</v>
      </c>
      <c r="L334" s="80">
        <v>0</v>
      </c>
      <c r="M334" s="80">
        <f>+K334+L334</f>
        <v>37612500</v>
      </c>
      <c r="N334" s="16">
        <f>+M334/D334</f>
        <v>0.98980263157894732</v>
      </c>
      <c r="O334" s="80">
        <f>+D334-I334</f>
        <v>387500</v>
      </c>
      <c r="P334" s="77"/>
      <c r="Q334" s="6" t="str">
        <f t="shared" si="136"/>
        <v>OKE</v>
      </c>
      <c r="R334" s="6"/>
    </row>
    <row r="335" spans="1:18" ht="15" hidden="1" thickBot="1" x14ac:dyDescent="0.25">
      <c r="A335" s="74"/>
      <c r="B335" s="74"/>
      <c r="C335" s="8" t="s">
        <v>52</v>
      </c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36"/>
        <v>OKE</v>
      </c>
      <c r="R335" s="6"/>
    </row>
    <row r="336" spans="1:18" ht="15" hidden="1" thickBot="1" x14ac:dyDescent="0.25">
      <c r="A336" s="74"/>
      <c r="B336" s="74"/>
      <c r="C336" s="8"/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36"/>
        <v>OKE</v>
      </c>
      <c r="R336" s="6"/>
    </row>
    <row r="337" spans="1:18" ht="15" hidden="1" thickBot="1" x14ac:dyDescent="0.25">
      <c r="A337" s="74">
        <v>7</v>
      </c>
      <c r="B337" s="75" t="s">
        <v>42</v>
      </c>
      <c r="C337" s="8" t="s">
        <v>53</v>
      </c>
      <c r="D337" s="15">
        <v>60000000</v>
      </c>
      <c r="E337" s="15"/>
      <c r="F337" s="15"/>
      <c r="G337" s="80">
        <v>59091100</v>
      </c>
      <c r="H337" s="79">
        <v>0</v>
      </c>
      <c r="I337" s="15">
        <f>+G337+H337</f>
        <v>59091100</v>
      </c>
      <c r="J337" s="16">
        <f>+I337/D337</f>
        <v>0.98485166666666668</v>
      </c>
      <c r="K337" s="80">
        <v>59091100</v>
      </c>
      <c r="L337" s="80">
        <v>0</v>
      </c>
      <c r="M337" s="80">
        <f>+K337+L337</f>
        <v>59091100</v>
      </c>
      <c r="N337" s="16">
        <f>+M337/D337</f>
        <v>0.98485166666666668</v>
      </c>
      <c r="O337" s="80">
        <f>+D337-I337</f>
        <v>908900</v>
      </c>
      <c r="P337" s="77"/>
      <c r="Q337" s="6" t="str">
        <f t="shared" si="136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36"/>
        <v>OKE</v>
      </c>
      <c r="R338" s="6"/>
    </row>
    <row r="339" spans="1:18" ht="15" hidden="1" thickBot="1" x14ac:dyDescent="0.25">
      <c r="A339" s="74">
        <v>8</v>
      </c>
      <c r="B339" s="75" t="s">
        <v>24</v>
      </c>
      <c r="C339" s="8" t="s">
        <v>87</v>
      </c>
      <c r="D339" s="15">
        <v>65000000</v>
      </c>
      <c r="E339" s="15"/>
      <c r="F339" s="15"/>
      <c r="G339" s="80">
        <v>38340000</v>
      </c>
      <c r="H339" s="79">
        <v>25460000</v>
      </c>
      <c r="I339" s="15">
        <f>+G339+H339</f>
        <v>63800000</v>
      </c>
      <c r="J339" s="16">
        <f>+I339/D339</f>
        <v>0.98153846153846158</v>
      </c>
      <c r="K339" s="80">
        <v>37852500</v>
      </c>
      <c r="L339" s="80">
        <v>25932500</v>
      </c>
      <c r="M339" s="80">
        <f>+K339+L339</f>
        <v>63785000</v>
      </c>
      <c r="N339" s="16">
        <f>+M339/D339</f>
        <v>0.98130769230769233</v>
      </c>
      <c r="O339" s="80">
        <f>+D339-I339</f>
        <v>1200000</v>
      </c>
      <c r="P339" s="77"/>
      <c r="Q339" s="6" t="str">
        <f t="shared" si="136"/>
        <v>OKE</v>
      </c>
      <c r="R339" s="6"/>
    </row>
    <row r="340" spans="1:18" ht="15" hidden="1" thickBot="1" x14ac:dyDescent="0.25">
      <c r="A340" s="74"/>
      <c r="B340" s="76"/>
      <c r="C340" s="76"/>
      <c r="D340" s="8"/>
      <c r="E340" s="8"/>
      <c r="F340" s="8"/>
      <c r="G340" s="76"/>
      <c r="H340" s="82"/>
      <c r="I340" s="76"/>
      <c r="J340" s="76"/>
      <c r="K340" s="46"/>
      <c r="L340" s="76"/>
      <c r="M340" s="76"/>
      <c r="N340" s="76"/>
      <c r="O340" s="76"/>
      <c r="P340" s="77"/>
      <c r="Q340" s="6" t="str">
        <f t="shared" si="136"/>
        <v>OKE</v>
      </c>
      <c r="R340" s="6"/>
    </row>
    <row r="341" spans="1:18" ht="15" hidden="1" thickBot="1" x14ac:dyDescent="0.25">
      <c r="A341" s="74">
        <v>9</v>
      </c>
      <c r="B341" s="75" t="s">
        <v>40</v>
      </c>
      <c r="C341" s="76" t="s">
        <v>88</v>
      </c>
      <c r="D341" s="47">
        <v>90000000</v>
      </c>
      <c r="E341" s="47"/>
      <c r="F341" s="47"/>
      <c r="G341" s="80">
        <v>61020000</v>
      </c>
      <c r="H341" s="79">
        <v>28975500</v>
      </c>
      <c r="I341" s="15">
        <f>+G341+H341</f>
        <v>89995500</v>
      </c>
      <c r="J341" s="16">
        <f>+I341/D341</f>
        <v>0.99995000000000001</v>
      </c>
      <c r="K341" s="80">
        <v>61013000</v>
      </c>
      <c r="L341" s="80">
        <v>28975500</v>
      </c>
      <c r="M341" s="80">
        <f>+K341+L341</f>
        <v>89988500</v>
      </c>
      <c r="N341" s="48">
        <v>0.99980000000000002</v>
      </c>
      <c r="O341" s="80">
        <f>+D341-I341</f>
        <v>4500</v>
      </c>
      <c r="P341" s="77"/>
      <c r="Q341" s="6" t="str">
        <f t="shared" si="136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76"/>
      <c r="L342" s="76"/>
      <c r="M342" s="76"/>
      <c r="N342" s="76"/>
      <c r="O342" s="76"/>
      <c r="P342" s="77"/>
      <c r="Q342" s="6" t="str">
        <f t="shared" si="136"/>
        <v>OKE</v>
      </c>
      <c r="R342" s="6"/>
    </row>
    <row r="343" spans="1:18" ht="15" hidden="1" thickBot="1" x14ac:dyDescent="0.25">
      <c r="A343" s="74"/>
      <c r="B343" s="76"/>
      <c r="C343" s="9" t="s">
        <v>89</v>
      </c>
      <c r="D343" s="10">
        <f>+D341+D339+D337+D334</f>
        <v>253000000</v>
      </c>
      <c r="E343" s="10"/>
      <c r="F343" s="10"/>
      <c r="G343" s="10">
        <f>+G341+G339+G337+G334</f>
        <v>196063600</v>
      </c>
      <c r="H343" s="11">
        <f>+H341+H339+H337+H334</f>
        <v>54435500</v>
      </c>
      <c r="I343" s="10">
        <f>+G343+H343</f>
        <v>250499100</v>
      </c>
      <c r="J343" s="12">
        <f>+I343/D343</f>
        <v>0.99011501976284588</v>
      </c>
      <c r="K343" s="10">
        <f>+K341+K339+K337+K334</f>
        <v>195569100</v>
      </c>
      <c r="L343" s="10">
        <f>+L341+L339+L337+L334</f>
        <v>54908000</v>
      </c>
      <c r="M343" s="10">
        <f>+K343+L343</f>
        <v>250477100</v>
      </c>
      <c r="N343" s="12">
        <f>+M343/D343</f>
        <v>0.9900280632411067</v>
      </c>
      <c r="O343" s="10">
        <f>+D343-I343</f>
        <v>2500900</v>
      </c>
      <c r="P343" s="77"/>
      <c r="Q343" s="6" t="str">
        <f t="shared" si="136"/>
        <v>OKE</v>
      </c>
      <c r="R343" s="6"/>
    </row>
    <row r="344" spans="1:18" ht="15" hidden="1" thickBot="1" x14ac:dyDescent="0.25">
      <c r="A344" s="85"/>
      <c r="B344" s="261"/>
      <c r="C344" s="34" t="s">
        <v>90</v>
      </c>
      <c r="D344" s="49"/>
      <c r="E344" s="49"/>
      <c r="F344" s="49"/>
      <c r="G344" s="261"/>
      <c r="H344" s="262"/>
      <c r="I344" s="261"/>
      <c r="J344" s="261"/>
      <c r="K344" s="261"/>
      <c r="L344" s="261"/>
      <c r="M344" s="261"/>
      <c r="N344" s="261"/>
      <c r="O344" s="261"/>
      <c r="P344" s="77"/>
      <c r="Q344" s="6" t="str">
        <f t="shared" si="136"/>
        <v>OKE</v>
      </c>
      <c r="R344" s="6"/>
    </row>
    <row r="345" spans="1:18" ht="15" hidden="1" thickBot="1" x14ac:dyDescent="0.25">
      <c r="A345" s="74"/>
      <c r="B345" s="76"/>
      <c r="C345" s="76"/>
      <c r="D345" s="8"/>
      <c r="E345" s="8"/>
      <c r="F345" s="8"/>
      <c r="G345" s="76"/>
      <c r="H345" s="82"/>
      <c r="I345" s="76"/>
      <c r="J345" s="76"/>
      <c r="K345" s="76"/>
      <c r="L345" s="76"/>
      <c r="M345" s="76"/>
      <c r="N345" s="76"/>
      <c r="O345" s="76"/>
      <c r="P345" s="50"/>
      <c r="Q345" s="6" t="str">
        <f t="shared" si="136"/>
        <v>OKE</v>
      </c>
      <c r="R345" s="6"/>
    </row>
    <row r="346" spans="1:18" ht="15" hidden="1" thickBot="1" x14ac:dyDescent="0.25">
      <c r="A346" s="7" t="s">
        <v>41</v>
      </c>
      <c r="B346" s="7" t="s">
        <v>54</v>
      </c>
      <c r="C346" s="9" t="s">
        <v>91</v>
      </c>
      <c r="D346" s="10">
        <f>+D349</f>
        <v>105000000</v>
      </c>
      <c r="E346" s="10"/>
      <c r="F346" s="10"/>
      <c r="G346" s="10">
        <f>+G349</f>
        <v>105000000</v>
      </c>
      <c r="H346" s="11">
        <f>+H349</f>
        <v>0</v>
      </c>
      <c r="I346" s="10">
        <f>+G346+H346</f>
        <v>105000000</v>
      </c>
      <c r="J346" s="12">
        <f>+I346/D346</f>
        <v>1</v>
      </c>
      <c r="K346" s="10">
        <f>+K349</f>
        <v>104800000</v>
      </c>
      <c r="L346" s="10">
        <f>+L349</f>
        <v>0</v>
      </c>
      <c r="M346" s="10">
        <f>+K346+L346</f>
        <v>104800000</v>
      </c>
      <c r="N346" s="12">
        <f>+M346/D346</f>
        <v>0.99809523809523815</v>
      </c>
      <c r="O346" s="10">
        <f>+D346-I346</f>
        <v>0</v>
      </c>
      <c r="P346" s="5"/>
      <c r="Q346" s="6" t="str">
        <f t="shared" si="136"/>
        <v>OKE</v>
      </c>
      <c r="R346" s="6"/>
    </row>
    <row r="347" spans="1:18" ht="15" hidden="1" thickBot="1" x14ac:dyDescent="0.25">
      <c r="A347" s="74"/>
      <c r="B347" s="76"/>
      <c r="C347" s="9" t="s">
        <v>92</v>
      </c>
      <c r="D347" s="15"/>
      <c r="E347" s="15"/>
      <c r="F347" s="15"/>
      <c r="G347" s="80"/>
      <c r="H347" s="79"/>
      <c r="I347" s="80"/>
      <c r="J347" s="80"/>
      <c r="K347" s="80"/>
      <c r="L347" s="76"/>
      <c r="M347" s="76"/>
      <c r="N347" s="76"/>
      <c r="O347" s="76"/>
      <c r="P347" s="5"/>
      <c r="Q347" s="6" t="str">
        <f t="shared" si="136"/>
        <v>OKE</v>
      </c>
      <c r="R347" s="6"/>
    </row>
    <row r="348" spans="1:18" ht="15" hidden="1" thickBot="1" x14ac:dyDescent="0.25">
      <c r="A348" s="74"/>
      <c r="B348" s="76"/>
      <c r="C348" s="76"/>
      <c r="D348" s="15"/>
      <c r="E348" s="15"/>
      <c r="F348" s="15"/>
      <c r="G348" s="80"/>
      <c r="H348" s="79"/>
      <c r="I348" s="80"/>
      <c r="J348" s="80"/>
      <c r="K348" s="80"/>
      <c r="L348" s="76"/>
      <c r="M348" s="76"/>
      <c r="N348" s="76"/>
      <c r="O348" s="76"/>
      <c r="P348" s="5"/>
      <c r="Q348" s="6" t="str">
        <f t="shared" si="136"/>
        <v>OKE</v>
      </c>
      <c r="R348" s="6"/>
    </row>
    <row r="349" spans="1:18" ht="15" hidden="1" thickBot="1" x14ac:dyDescent="0.25">
      <c r="A349" s="74">
        <v>10</v>
      </c>
      <c r="B349" s="75" t="s">
        <v>43</v>
      </c>
      <c r="C349" s="8" t="s">
        <v>93</v>
      </c>
      <c r="D349" s="15">
        <v>105000000</v>
      </c>
      <c r="E349" s="15"/>
      <c r="F349" s="15"/>
      <c r="G349" s="80">
        <v>105000000</v>
      </c>
      <c r="H349" s="79">
        <v>0</v>
      </c>
      <c r="I349" s="15">
        <f>+G349+H349</f>
        <v>105000000</v>
      </c>
      <c r="J349" s="16">
        <f>+I349/D349</f>
        <v>1</v>
      </c>
      <c r="K349" s="80">
        <v>104800000</v>
      </c>
      <c r="L349" s="80">
        <v>0</v>
      </c>
      <c r="M349" s="80">
        <f>+K349+L349</f>
        <v>104800000</v>
      </c>
      <c r="N349" s="16">
        <f>+M349/D349</f>
        <v>0.99809523809523815</v>
      </c>
      <c r="O349" s="80">
        <f>+D349-I349</f>
        <v>0</v>
      </c>
      <c r="P349" s="5"/>
      <c r="Q349" s="6" t="str">
        <f t="shared" si="136"/>
        <v>OKE</v>
      </c>
      <c r="R349" s="6"/>
    </row>
    <row r="350" spans="1:18" ht="15" hidden="1" thickBot="1" x14ac:dyDescent="0.25">
      <c r="A350" s="74"/>
      <c r="B350" s="74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36"/>
        <v>OKE</v>
      </c>
      <c r="R350" s="6"/>
    </row>
    <row r="351" spans="1:18" ht="15" hidden="1" thickBot="1" x14ac:dyDescent="0.25">
      <c r="A351" s="74"/>
      <c r="B351" s="74"/>
      <c r="C351" s="9" t="s">
        <v>94</v>
      </c>
      <c r="D351" s="10">
        <f>+D349</f>
        <v>105000000</v>
      </c>
      <c r="E351" s="10"/>
      <c r="F351" s="10"/>
      <c r="G351" s="10">
        <f>+G349</f>
        <v>105000000</v>
      </c>
      <c r="H351" s="11">
        <f>+H349</f>
        <v>0</v>
      </c>
      <c r="I351" s="10">
        <f>+G351+H351</f>
        <v>105000000</v>
      </c>
      <c r="J351" s="12">
        <f>+I351/D351</f>
        <v>1</v>
      </c>
      <c r="K351" s="10">
        <f>+K349</f>
        <v>104800000</v>
      </c>
      <c r="L351" s="10">
        <f>+L349</f>
        <v>0</v>
      </c>
      <c r="M351" s="10">
        <f>+K351+L351</f>
        <v>104800000</v>
      </c>
      <c r="N351" s="12">
        <f>+M351/D351</f>
        <v>0.99809523809523815</v>
      </c>
      <c r="O351" s="10">
        <f>+D351-I351</f>
        <v>0</v>
      </c>
      <c r="P351" s="5"/>
      <c r="Q351" s="6" t="str">
        <f t="shared" si="136"/>
        <v>OKE</v>
      </c>
      <c r="R351" s="6"/>
    </row>
    <row r="352" spans="1:18" ht="15" hidden="1" thickBot="1" x14ac:dyDescent="0.25">
      <c r="A352" s="85"/>
      <c r="B352" s="85"/>
      <c r="C352" s="34" t="s">
        <v>55</v>
      </c>
      <c r="D352" s="35"/>
      <c r="E352" s="35"/>
      <c r="F352" s="35"/>
      <c r="G352" s="259"/>
      <c r="H352" s="260"/>
      <c r="I352" s="259"/>
      <c r="J352" s="259"/>
      <c r="K352" s="259"/>
      <c r="L352" s="261"/>
      <c r="M352" s="261"/>
      <c r="N352" s="261"/>
      <c r="O352" s="261"/>
      <c r="P352" s="5"/>
      <c r="Q352" s="6" t="str">
        <f t="shared" si="136"/>
        <v>OKE</v>
      </c>
      <c r="R352" s="6"/>
    </row>
    <row r="353" spans="1:18" ht="15" hidden="1" thickBot="1" x14ac:dyDescent="0.25">
      <c r="A353" s="91"/>
      <c r="B353" s="91"/>
      <c r="C353" s="51"/>
      <c r="D353" s="52"/>
      <c r="E353" s="52"/>
      <c r="F353" s="52"/>
      <c r="G353" s="263"/>
      <c r="H353" s="264"/>
      <c r="I353" s="263"/>
      <c r="J353" s="263"/>
      <c r="K353" s="263"/>
      <c r="L353" s="265"/>
      <c r="M353" s="265"/>
      <c r="N353" s="265"/>
      <c r="O353" s="265"/>
      <c r="P353" s="5"/>
      <c r="Q353" s="6" t="str">
        <f t="shared" si="136"/>
        <v>OKE</v>
      </c>
      <c r="R353" s="6"/>
    </row>
    <row r="354" spans="1:18" ht="15" hidden="1" thickBot="1" x14ac:dyDescent="0.25">
      <c r="A354" s="411" t="s">
        <v>95</v>
      </c>
      <c r="B354" s="411"/>
      <c r="C354" s="413" t="s">
        <v>96</v>
      </c>
      <c r="D354" s="415">
        <f>+D351+D343+D298+D290</f>
        <v>785575000</v>
      </c>
      <c r="E354" s="198"/>
      <c r="F354" s="198"/>
      <c r="G354" s="415">
        <f>+G351+G343+G298+G290</f>
        <v>476993900</v>
      </c>
      <c r="H354" s="417">
        <f>+H351+H343+H298+H290</f>
        <v>281460500</v>
      </c>
      <c r="I354" s="415">
        <f>+G354+H354</f>
        <v>758454400</v>
      </c>
      <c r="J354" s="419">
        <f>+I354/D354</f>
        <v>0.96547675269706901</v>
      </c>
      <c r="K354" s="415">
        <f>+K351+K343+K298+K290</f>
        <v>468063900</v>
      </c>
      <c r="L354" s="415">
        <f>+L351+L343+L298+L290</f>
        <v>279050600</v>
      </c>
      <c r="M354" s="421">
        <f>+K354+L354</f>
        <v>747114500</v>
      </c>
      <c r="N354" s="423">
        <f>+M354/D354</f>
        <v>0.95104159373707153</v>
      </c>
      <c r="O354" s="421">
        <f>+D354-I354</f>
        <v>27120600</v>
      </c>
      <c r="P354" s="5"/>
      <c r="Q354" s="6" t="str">
        <f t="shared" si="136"/>
        <v>OKE</v>
      </c>
      <c r="R354" s="6"/>
    </row>
    <row r="355" spans="1:18" ht="15" hidden="1" thickBot="1" x14ac:dyDescent="0.25">
      <c r="A355" s="412"/>
      <c r="B355" s="412"/>
      <c r="C355" s="414"/>
      <c r="D355" s="416"/>
      <c r="E355" s="199"/>
      <c r="F355" s="199"/>
      <c r="G355" s="416"/>
      <c r="H355" s="418"/>
      <c r="I355" s="416"/>
      <c r="J355" s="420"/>
      <c r="K355" s="416"/>
      <c r="L355" s="416"/>
      <c r="M355" s="422"/>
      <c r="N355" s="424"/>
      <c r="O355" s="422"/>
      <c r="P355" s="5"/>
      <c r="Q355" s="6" t="str">
        <f t="shared" si="136"/>
        <v>OKE</v>
      </c>
      <c r="R355" s="6"/>
    </row>
    <row r="356" spans="1:18" ht="15" hidden="1" thickBot="1" x14ac:dyDescent="0.25">
      <c r="A356" s="90"/>
      <c r="B356" s="90"/>
      <c r="C356" s="37"/>
      <c r="D356" s="37"/>
      <c r="E356" s="37"/>
      <c r="F356" s="37"/>
      <c r="G356" s="90"/>
      <c r="H356" s="266"/>
      <c r="I356" s="90"/>
      <c r="J356" s="90"/>
      <c r="K356" s="90"/>
      <c r="L356" s="267"/>
      <c r="M356" s="90"/>
      <c r="N356" s="90"/>
      <c r="O356" s="90"/>
      <c r="P356" s="5"/>
      <c r="Q356" s="6" t="str">
        <f t="shared" si="136"/>
        <v>OKE</v>
      </c>
      <c r="R356" s="6"/>
    </row>
    <row r="357" spans="1:18" ht="15" hidden="1" thickBot="1" x14ac:dyDescent="0.25">
      <c r="A357" s="90"/>
      <c r="B357" s="90"/>
      <c r="C357" s="37"/>
      <c r="D357" s="37"/>
      <c r="E357" s="37"/>
      <c r="F357" s="37"/>
      <c r="G357" s="90"/>
      <c r="H357" s="266"/>
      <c r="I357" s="90"/>
      <c r="J357" s="90"/>
      <c r="K357" s="90"/>
      <c r="L357" s="267"/>
      <c r="M357" s="90"/>
      <c r="N357" s="90"/>
      <c r="O357" s="90"/>
      <c r="P357" s="5"/>
      <c r="Q357" s="6" t="str">
        <f t="shared" si="136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36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36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36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36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36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36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36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36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36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36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36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36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36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36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ref="Q372:Q435" si="137">IF(M372&lt;=I372,"OKE","Salah")</f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37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si="137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37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37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37"/>
        <v>OKE</v>
      </c>
      <c r="R377" s="6"/>
    </row>
    <row r="378" spans="1:18" ht="14.1" hidden="1" customHeight="1" x14ac:dyDescent="0.2">
      <c r="A378" s="410" t="s">
        <v>0</v>
      </c>
      <c r="B378" s="410"/>
      <c r="C378" s="410"/>
      <c r="D378" s="410"/>
      <c r="E378" s="410"/>
      <c r="F378" s="410"/>
      <c r="G378" s="410"/>
      <c r="H378" s="410"/>
      <c r="I378" s="410"/>
      <c r="J378" s="410"/>
      <c r="K378" s="410"/>
      <c r="L378" s="410"/>
      <c r="M378" s="410"/>
      <c r="N378" s="410"/>
      <c r="O378" s="410"/>
      <c r="P378" s="5"/>
      <c r="Q378" s="6" t="str">
        <f t="shared" si="137"/>
        <v>OKE</v>
      </c>
      <c r="R378" s="6"/>
    </row>
    <row r="379" spans="1:18" ht="14.1" hidden="1" customHeight="1" x14ac:dyDescent="0.2">
      <c r="A379" s="410" t="s">
        <v>1</v>
      </c>
      <c r="B379" s="410"/>
      <c r="C379" s="410"/>
      <c r="D379" s="410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5"/>
      <c r="Q379" s="6" t="str">
        <f t="shared" si="137"/>
        <v>OKE</v>
      </c>
      <c r="R379" s="6"/>
    </row>
    <row r="380" spans="1:18" ht="14.1" hidden="1" customHeight="1" x14ac:dyDescent="0.2">
      <c r="A380" s="407" t="s">
        <v>111</v>
      </c>
      <c r="B380" s="407"/>
      <c r="C380" s="407"/>
      <c r="D380" s="407"/>
      <c r="E380" s="407"/>
      <c r="F380" s="407"/>
      <c r="G380" s="407"/>
      <c r="H380" s="407"/>
      <c r="I380" s="407"/>
      <c r="J380" s="407"/>
      <c r="K380" s="407"/>
      <c r="L380" s="407"/>
      <c r="M380" s="407"/>
      <c r="N380" s="407"/>
      <c r="O380" s="407"/>
      <c r="P380" s="5"/>
      <c r="Q380" s="6" t="str">
        <f t="shared" si="137"/>
        <v>OKE</v>
      </c>
      <c r="R380" s="6"/>
    </row>
    <row r="381" spans="1:18" ht="14.1" hidden="1" customHeight="1" x14ac:dyDescent="0.2">
      <c r="A381" s="361" t="s">
        <v>2</v>
      </c>
      <c r="B381" s="361" t="s">
        <v>3</v>
      </c>
      <c r="C381" s="361" t="s">
        <v>4</v>
      </c>
      <c r="D381" s="361" t="s">
        <v>5</v>
      </c>
      <c r="E381" s="197"/>
      <c r="F381" s="197"/>
      <c r="G381" s="358" t="s">
        <v>11</v>
      </c>
      <c r="H381" s="359"/>
      <c r="I381" s="359"/>
      <c r="J381" s="360"/>
      <c r="K381" s="358" t="s">
        <v>9</v>
      </c>
      <c r="L381" s="359"/>
      <c r="M381" s="359"/>
      <c r="N381" s="360"/>
      <c r="O381" s="361" t="s">
        <v>10</v>
      </c>
      <c r="P381" s="5"/>
      <c r="Q381" s="6" t="str">
        <f t="shared" si="137"/>
        <v>OKE</v>
      </c>
      <c r="R381" s="6"/>
    </row>
    <row r="382" spans="1:18" ht="14.1" hidden="1" customHeight="1" x14ac:dyDescent="0.2">
      <c r="A382" s="362"/>
      <c r="B382" s="362"/>
      <c r="C382" s="362"/>
      <c r="D382" s="362"/>
      <c r="E382" s="44"/>
      <c r="F382" s="44"/>
      <c r="G382" s="358" t="s">
        <v>74</v>
      </c>
      <c r="H382" s="359"/>
      <c r="I382" s="359"/>
      <c r="J382" s="360"/>
      <c r="K382" s="358" t="s">
        <v>12</v>
      </c>
      <c r="L382" s="359"/>
      <c r="M382" s="359"/>
      <c r="N382" s="360"/>
      <c r="O382" s="362"/>
      <c r="P382" s="5"/>
      <c r="Q382" s="6" t="str">
        <f t="shared" si="137"/>
        <v>OKE</v>
      </c>
      <c r="R382" s="6"/>
    </row>
    <row r="383" spans="1:18" ht="15" hidden="1" thickBot="1" x14ac:dyDescent="0.25">
      <c r="A383" s="378"/>
      <c r="B383" s="378"/>
      <c r="C383" s="378"/>
      <c r="D383" s="378"/>
      <c r="E383" s="196"/>
      <c r="F383" s="196"/>
      <c r="G383" s="144" t="s">
        <v>13</v>
      </c>
      <c r="H383" s="145" t="s">
        <v>14</v>
      </c>
      <c r="I383" s="144" t="s">
        <v>15</v>
      </c>
      <c r="J383" s="144" t="s">
        <v>16</v>
      </c>
      <c r="K383" s="144" t="s">
        <v>13</v>
      </c>
      <c r="L383" s="144" t="s">
        <v>14</v>
      </c>
      <c r="M383" s="144" t="s">
        <v>15</v>
      </c>
      <c r="N383" s="144" t="s">
        <v>16</v>
      </c>
      <c r="O383" s="378"/>
      <c r="P383" s="5"/>
      <c r="Q383" s="6" t="str">
        <f t="shared" si="137"/>
        <v>OKE</v>
      </c>
      <c r="R383" s="6"/>
    </row>
    <row r="384" spans="1:18" ht="15" hidden="1" thickBot="1" x14ac:dyDescent="0.25">
      <c r="A384" s="2">
        <v>1</v>
      </c>
      <c r="B384" s="2">
        <v>2</v>
      </c>
      <c r="C384" s="2">
        <v>3</v>
      </c>
      <c r="D384" s="2">
        <v>4</v>
      </c>
      <c r="E384" s="2"/>
      <c r="F384" s="2"/>
      <c r="G384" s="2">
        <v>5</v>
      </c>
      <c r="H384" s="145">
        <v>6</v>
      </c>
      <c r="I384" s="45" t="s">
        <v>77</v>
      </c>
      <c r="J384" s="45" t="s">
        <v>78</v>
      </c>
      <c r="K384" s="45">
        <v>9</v>
      </c>
      <c r="L384" s="45">
        <v>10</v>
      </c>
      <c r="M384" s="45" t="s">
        <v>79</v>
      </c>
      <c r="N384" s="45" t="s">
        <v>80</v>
      </c>
      <c r="O384" s="45" t="s">
        <v>81</v>
      </c>
      <c r="P384" s="5"/>
      <c r="Q384" s="6" t="str">
        <f t="shared" si="137"/>
        <v>OKE</v>
      </c>
      <c r="R384" s="6"/>
    </row>
    <row r="385" spans="1:18" ht="15" hidden="1" thickBot="1" x14ac:dyDescent="0.25">
      <c r="A385" s="74"/>
      <c r="B385" s="76"/>
      <c r="C385" s="76"/>
      <c r="D385" s="8"/>
      <c r="E385" s="8"/>
      <c r="F385" s="8"/>
      <c r="G385" s="76"/>
      <c r="H385" s="82"/>
      <c r="I385" s="76"/>
      <c r="J385" s="76"/>
      <c r="K385" s="76"/>
      <c r="L385" s="76"/>
      <c r="M385" s="76"/>
      <c r="N385" s="241"/>
      <c r="O385" s="241"/>
      <c r="P385" s="5"/>
      <c r="Q385" s="6" t="str">
        <f t="shared" si="137"/>
        <v>OKE</v>
      </c>
      <c r="R385" s="6"/>
    </row>
    <row r="386" spans="1:18" ht="15" hidden="1" thickBot="1" x14ac:dyDescent="0.25">
      <c r="A386" s="74"/>
      <c r="B386" s="76"/>
      <c r="C386" s="244" t="s">
        <v>97</v>
      </c>
      <c r="D386" s="8"/>
      <c r="E386" s="8"/>
      <c r="F386" s="8"/>
      <c r="G386" s="76"/>
      <c r="H386" s="82"/>
      <c r="I386" s="76"/>
      <c r="J386" s="76"/>
      <c r="K386" s="76"/>
      <c r="L386" s="76"/>
      <c r="M386" s="76"/>
      <c r="N386" s="76"/>
      <c r="O386" s="76"/>
      <c r="P386" s="5"/>
      <c r="Q386" s="6" t="str">
        <f t="shared" si="137"/>
        <v>OKE</v>
      </c>
      <c r="R386" s="6"/>
    </row>
    <row r="387" spans="1:18" ht="15" hidden="1" thickBot="1" x14ac:dyDescent="0.25">
      <c r="A387" s="74"/>
      <c r="B387" s="74"/>
      <c r="C387" s="76"/>
      <c r="D387" s="53"/>
      <c r="E387" s="53"/>
      <c r="F387" s="53"/>
      <c r="G387" s="268"/>
      <c r="H387" s="269"/>
      <c r="I387" s="268"/>
      <c r="J387" s="268"/>
      <c r="K387" s="268"/>
      <c r="L387" s="76"/>
      <c r="M387" s="76"/>
      <c r="N387" s="76"/>
      <c r="O387" s="76"/>
      <c r="P387" s="5"/>
      <c r="Q387" s="6" t="str">
        <f t="shared" si="137"/>
        <v>OKE</v>
      </c>
      <c r="R387" s="6"/>
    </row>
    <row r="388" spans="1:18" ht="15" hidden="1" thickBot="1" x14ac:dyDescent="0.25">
      <c r="A388" s="7" t="s">
        <v>22</v>
      </c>
      <c r="B388" s="7" t="s">
        <v>23</v>
      </c>
      <c r="C388" s="9" t="s">
        <v>45</v>
      </c>
      <c r="D388" s="10">
        <f>+D390+D392+D397+D399+D401+D403+D405+D407</f>
        <v>268080000</v>
      </c>
      <c r="E388" s="10"/>
      <c r="F388" s="10"/>
      <c r="G388" s="10">
        <f>+G390+G392+G397+G399+G401+G403+G405+G407</f>
        <v>133763800</v>
      </c>
      <c r="H388" s="11">
        <f>+H390+H392+H397+H399+H401+H403+H405+H407</f>
        <v>8628300</v>
      </c>
      <c r="I388" s="10">
        <f>+G388+H388</f>
        <v>142392100</v>
      </c>
      <c r="J388" s="12">
        <f>+I388/D388</f>
        <v>0.53115525216353332</v>
      </c>
      <c r="K388" s="10">
        <f>+K390+K392+K397+K399+K401+K403+K405+K407</f>
        <v>114241700</v>
      </c>
      <c r="L388" s="10">
        <f>+L390+L392+L397+L399+L401+L403+L405+L407</f>
        <v>26474800</v>
      </c>
      <c r="M388" s="10">
        <f>+K388+L388</f>
        <v>140716500</v>
      </c>
      <c r="N388" s="12">
        <f>+M388/D388</f>
        <v>0.52490487914055506</v>
      </c>
      <c r="O388" s="10">
        <f>+D388-I388</f>
        <v>125687900</v>
      </c>
      <c r="P388" s="5"/>
      <c r="Q388" s="6" t="str">
        <f t="shared" si="137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37"/>
        <v>OKE</v>
      </c>
      <c r="R389" s="6"/>
    </row>
    <row r="390" spans="1:18" ht="15" hidden="1" thickBot="1" x14ac:dyDescent="0.25">
      <c r="A390" s="74">
        <v>1</v>
      </c>
      <c r="B390" s="75" t="s">
        <v>43</v>
      </c>
      <c r="C390" s="76" t="s">
        <v>98</v>
      </c>
      <c r="D390" s="15">
        <v>15000000</v>
      </c>
      <c r="E390" s="15"/>
      <c r="F390" s="15"/>
      <c r="G390" s="80">
        <v>11390500</v>
      </c>
      <c r="H390" s="79">
        <v>1097000</v>
      </c>
      <c r="I390" s="15">
        <f>+G390+H390</f>
        <v>12487500</v>
      </c>
      <c r="J390" s="16">
        <f>+I390/D390</f>
        <v>0.83250000000000002</v>
      </c>
      <c r="K390" s="80">
        <v>8898000</v>
      </c>
      <c r="L390" s="80">
        <v>1952000</v>
      </c>
      <c r="M390" s="80">
        <f>+K390+L390</f>
        <v>10850000</v>
      </c>
      <c r="N390" s="16">
        <f>+M390/D390</f>
        <v>0.72333333333333338</v>
      </c>
      <c r="O390" s="80">
        <f>+D390-I390</f>
        <v>2512500</v>
      </c>
      <c r="P390" s="5"/>
      <c r="Q390" s="6" t="str">
        <f t="shared" si="137"/>
        <v>OKE</v>
      </c>
      <c r="R390" s="6"/>
    </row>
    <row r="391" spans="1:18" ht="15" hidden="1" thickBot="1" x14ac:dyDescent="0.25">
      <c r="A391" s="74"/>
      <c r="B391" s="74"/>
      <c r="C391" s="76"/>
      <c r="D391" s="15"/>
      <c r="E391" s="15"/>
      <c r="F391" s="15"/>
      <c r="G391" s="80"/>
      <c r="H391" s="79"/>
      <c r="I391" s="80"/>
      <c r="J391" s="80"/>
      <c r="K391" s="80"/>
      <c r="L391" s="76"/>
      <c r="M391" s="76"/>
      <c r="N391" s="76"/>
      <c r="O391" s="76"/>
      <c r="P391" s="5"/>
      <c r="Q391" s="6" t="str">
        <f t="shared" si="137"/>
        <v>OKE</v>
      </c>
      <c r="R391" s="6"/>
    </row>
    <row r="392" spans="1:18" ht="15" hidden="1" thickBot="1" x14ac:dyDescent="0.25">
      <c r="A392" s="74">
        <v>2</v>
      </c>
      <c r="B392" s="75" t="s">
        <v>39</v>
      </c>
      <c r="C392" s="76" t="s">
        <v>50</v>
      </c>
      <c r="D392" s="15">
        <v>5000000</v>
      </c>
      <c r="E392" s="15"/>
      <c r="F392" s="15"/>
      <c r="G392" s="80">
        <v>4980000</v>
      </c>
      <c r="H392" s="79">
        <v>0</v>
      </c>
      <c r="I392" s="15">
        <f>+G392+H392</f>
        <v>4980000</v>
      </c>
      <c r="J392" s="16">
        <f>+I392/D392</f>
        <v>0.996</v>
      </c>
      <c r="K392" s="80">
        <v>3320000</v>
      </c>
      <c r="L392" s="80">
        <v>1660000</v>
      </c>
      <c r="M392" s="80">
        <f>+K392+L392</f>
        <v>4980000</v>
      </c>
      <c r="N392" s="16">
        <f>+M392/D392</f>
        <v>0.996</v>
      </c>
      <c r="O392" s="80">
        <f>+D392-I392</f>
        <v>20000</v>
      </c>
      <c r="P392" s="5"/>
      <c r="Q392" s="6" t="str">
        <f t="shared" si="137"/>
        <v>OKE</v>
      </c>
      <c r="R392" s="6"/>
    </row>
    <row r="393" spans="1:18" ht="15" hidden="1" thickBot="1" x14ac:dyDescent="0.25">
      <c r="A393" s="74"/>
      <c r="B393" s="75"/>
      <c r="C393" s="76"/>
      <c r="D393" s="15"/>
      <c r="E393" s="15"/>
      <c r="F393" s="15"/>
      <c r="G393" s="80"/>
      <c r="H393" s="79"/>
      <c r="I393" s="15"/>
      <c r="J393" s="16"/>
      <c r="K393" s="80"/>
      <c r="L393" s="80"/>
      <c r="M393" s="80"/>
      <c r="N393" s="16"/>
      <c r="O393" s="80"/>
      <c r="P393" s="5"/>
      <c r="Q393" s="6" t="str">
        <f t="shared" si="137"/>
        <v>OKE</v>
      </c>
      <c r="R393" s="6"/>
    </row>
    <row r="394" spans="1:18" ht="15" hidden="1" thickBot="1" x14ac:dyDescent="0.25">
      <c r="A394" s="74"/>
      <c r="B394" s="18" t="s">
        <v>24</v>
      </c>
      <c r="C394" s="19" t="s">
        <v>25</v>
      </c>
      <c r="D394" s="20">
        <v>77530000</v>
      </c>
      <c r="E394" s="20"/>
      <c r="F394" s="20"/>
      <c r="G394" s="20">
        <v>37840000</v>
      </c>
      <c r="H394" s="21">
        <v>3330000</v>
      </c>
      <c r="I394" s="20">
        <f>+G394+H394</f>
        <v>41170000</v>
      </c>
      <c r="J394" s="22">
        <f>+I394/D394</f>
        <v>0.53102025022571908</v>
      </c>
      <c r="K394" s="20">
        <v>34735000</v>
      </c>
      <c r="L394" s="20">
        <v>2880000</v>
      </c>
      <c r="M394" s="20">
        <f>+K394+L394</f>
        <v>37615000</v>
      </c>
      <c r="N394" s="22">
        <f>+M394/D394</f>
        <v>0.48516703211660001</v>
      </c>
      <c r="O394" s="20">
        <f>+D394-I394</f>
        <v>36360000</v>
      </c>
      <c r="P394" s="5"/>
      <c r="Q394" s="6" t="str">
        <f t="shared" si="137"/>
        <v>OKE</v>
      </c>
      <c r="R394" s="6"/>
    </row>
    <row r="395" spans="1:18" ht="15" hidden="1" thickBot="1" x14ac:dyDescent="0.25">
      <c r="A395" s="74"/>
      <c r="B395" s="18" t="s">
        <v>24</v>
      </c>
      <c r="C395" s="19" t="s">
        <v>28</v>
      </c>
      <c r="D395" s="20">
        <v>-34450000</v>
      </c>
      <c r="E395" s="20"/>
      <c r="F395" s="20"/>
      <c r="G395" s="20"/>
      <c r="H395" s="21">
        <v>-9800000</v>
      </c>
      <c r="I395" s="20"/>
      <c r="J395" s="22"/>
      <c r="K395" s="20"/>
      <c r="L395" s="20">
        <v>-9800000</v>
      </c>
      <c r="M395" s="20"/>
      <c r="N395" s="22"/>
      <c r="O395" s="20"/>
      <c r="P395" s="5"/>
      <c r="Q395" s="6" t="str">
        <f t="shared" si="137"/>
        <v>OKE</v>
      </c>
      <c r="R395" s="6"/>
    </row>
    <row r="396" spans="1:18" ht="15" hidden="1" thickBot="1" x14ac:dyDescent="0.25">
      <c r="A396" s="74"/>
      <c r="B396" s="74"/>
      <c r="C396" s="76"/>
      <c r="D396" s="15"/>
      <c r="E396" s="15"/>
      <c r="F396" s="15"/>
      <c r="G396" s="80"/>
      <c r="H396" s="79"/>
      <c r="I396" s="15"/>
      <c r="J396" s="16"/>
      <c r="K396" s="80"/>
      <c r="L396" s="76"/>
      <c r="M396" s="80"/>
      <c r="N396" s="16"/>
      <c r="O396" s="80"/>
      <c r="P396" s="5"/>
      <c r="Q396" s="6" t="str">
        <f t="shared" si="137"/>
        <v>OKE</v>
      </c>
      <c r="R396" s="6"/>
    </row>
    <row r="397" spans="1:18" ht="15" hidden="1" thickBot="1" x14ac:dyDescent="0.25">
      <c r="A397" s="74">
        <v>4</v>
      </c>
      <c r="B397" s="75" t="s">
        <v>24</v>
      </c>
      <c r="C397" s="76" t="s">
        <v>25</v>
      </c>
      <c r="D397" s="15">
        <v>43080000</v>
      </c>
      <c r="E397" s="15"/>
      <c r="F397" s="15"/>
      <c r="G397" s="80">
        <v>38030000</v>
      </c>
      <c r="H397" s="79">
        <v>0</v>
      </c>
      <c r="I397" s="15">
        <f>+G397+H397</f>
        <v>38030000</v>
      </c>
      <c r="J397" s="16">
        <f>+I397/D397</f>
        <v>0.88277623026926644</v>
      </c>
      <c r="K397" s="80">
        <v>31370000</v>
      </c>
      <c r="L397" s="80">
        <v>6660000</v>
      </c>
      <c r="M397" s="80">
        <f>+K397+L397</f>
        <v>38030000</v>
      </c>
      <c r="N397" s="16">
        <f>+M397/D397</f>
        <v>0.88277623026926644</v>
      </c>
      <c r="O397" s="80">
        <f>+D397-I397</f>
        <v>5050000</v>
      </c>
      <c r="P397" s="5"/>
      <c r="Q397" s="6" t="str">
        <f t="shared" si="137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80"/>
      <c r="J398" s="80"/>
      <c r="K398" s="80"/>
      <c r="L398" s="76"/>
      <c r="M398" s="76"/>
      <c r="N398" s="76"/>
      <c r="O398" s="76"/>
      <c r="P398" s="5"/>
      <c r="Q398" s="6" t="str">
        <f t="shared" si="137"/>
        <v>OKE</v>
      </c>
      <c r="R398" s="6"/>
    </row>
    <row r="399" spans="1:18" ht="15" hidden="1" thickBot="1" x14ac:dyDescent="0.25">
      <c r="A399" s="74">
        <v>5</v>
      </c>
      <c r="B399" s="75" t="s">
        <v>46</v>
      </c>
      <c r="C399" s="76" t="s">
        <v>47</v>
      </c>
      <c r="D399" s="15">
        <v>30000000</v>
      </c>
      <c r="E399" s="15"/>
      <c r="F399" s="15"/>
      <c r="G399" s="80">
        <v>15789600</v>
      </c>
      <c r="H399" s="79">
        <v>1434200</v>
      </c>
      <c r="I399" s="15">
        <f>+G399+H399</f>
        <v>17223800</v>
      </c>
      <c r="J399" s="16">
        <f>+I399/D399</f>
        <v>0.57412666666666667</v>
      </c>
      <c r="K399" s="80">
        <v>14316300</v>
      </c>
      <c r="L399" s="80">
        <v>2869400</v>
      </c>
      <c r="M399" s="80">
        <f>+K399+L399</f>
        <v>17185700</v>
      </c>
      <c r="N399" s="16">
        <f>+M399/D399</f>
        <v>0.57285666666666668</v>
      </c>
      <c r="O399" s="80">
        <f>+D399-I399</f>
        <v>12776200</v>
      </c>
      <c r="P399" s="5"/>
      <c r="Q399" s="6" t="str">
        <f t="shared" si="137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37"/>
        <v>OKE</v>
      </c>
      <c r="R400" s="6"/>
    </row>
    <row r="401" spans="1:18" ht="15" hidden="1" thickBot="1" x14ac:dyDescent="0.25">
      <c r="A401" s="74">
        <v>6</v>
      </c>
      <c r="B401" s="75" t="s">
        <v>26</v>
      </c>
      <c r="C401" s="76" t="s">
        <v>27</v>
      </c>
      <c r="D401" s="15">
        <v>98400000</v>
      </c>
      <c r="E401" s="15"/>
      <c r="F401" s="15"/>
      <c r="G401" s="80">
        <v>27741800</v>
      </c>
      <c r="H401" s="79">
        <v>1373600</v>
      </c>
      <c r="I401" s="15">
        <f>+G401+H401</f>
        <v>29115400</v>
      </c>
      <c r="J401" s="16">
        <f>+I401/D401</f>
        <v>0.2958882113821138</v>
      </c>
      <c r="K401" s="80">
        <v>26392700</v>
      </c>
      <c r="L401" s="80">
        <v>2722700</v>
      </c>
      <c r="M401" s="80">
        <f>+K401+L401</f>
        <v>29115400</v>
      </c>
      <c r="N401" s="16">
        <f>+M401/D401</f>
        <v>0.2958882113821138</v>
      </c>
      <c r="O401" s="80">
        <f>+D401-I401</f>
        <v>69284600</v>
      </c>
      <c r="P401" s="5"/>
      <c r="Q401" s="6" t="str">
        <f t="shared" si="137"/>
        <v>OKE</v>
      </c>
      <c r="R401" s="6"/>
    </row>
    <row r="402" spans="1:18" ht="15" hidden="1" thickBot="1" x14ac:dyDescent="0.25">
      <c r="A402" s="74"/>
      <c r="B402" s="75"/>
      <c r="C402" s="76"/>
      <c r="D402" s="15"/>
      <c r="E402" s="15"/>
      <c r="F402" s="15"/>
      <c r="G402" s="80"/>
      <c r="H402" s="79"/>
      <c r="I402" s="10"/>
      <c r="J402" s="16"/>
      <c r="K402" s="80"/>
      <c r="L402" s="93"/>
      <c r="M402" s="80"/>
      <c r="N402" s="16"/>
      <c r="O402" s="80"/>
      <c r="P402" s="5"/>
      <c r="Q402" s="6" t="str">
        <f t="shared" si="137"/>
        <v>OKE</v>
      </c>
      <c r="R402" s="6"/>
    </row>
    <row r="403" spans="1:18" ht="15" hidden="1" thickBot="1" x14ac:dyDescent="0.25">
      <c r="A403" s="74">
        <v>7</v>
      </c>
      <c r="B403" s="75" t="s">
        <v>44</v>
      </c>
      <c r="C403" s="76" t="s">
        <v>57</v>
      </c>
      <c r="D403" s="15">
        <v>5000000</v>
      </c>
      <c r="E403" s="15"/>
      <c r="F403" s="15"/>
      <c r="G403" s="80">
        <v>4999000</v>
      </c>
      <c r="H403" s="79">
        <v>0</v>
      </c>
      <c r="I403" s="15">
        <f>+G403+H403</f>
        <v>4999000</v>
      </c>
      <c r="J403" s="16">
        <v>0.999</v>
      </c>
      <c r="K403" s="80">
        <v>3953500</v>
      </c>
      <c r="L403" s="80">
        <v>1045500</v>
      </c>
      <c r="M403" s="80">
        <f>+K403+L403</f>
        <v>4999000</v>
      </c>
      <c r="N403" s="16">
        <f>+M403/D403</f>
        <v>0.99980000000000002</v>
      </c>
      <c r="O403" s="80">
        <f>+D403-I403</f>
        <v>1000</v>
      </c>
      <c r="P403" s="5"/>
      <c r="Q403" s="6" t="str">
        <f t="shared" si="137"/>
        <v>OKE</v>
      </c>
      <c r="R403" s="6"/>
    </row>
    <row r="404" spans="1:18" ht="15" hidden="1" thickBot="1" x14ac:dyDescent="0.25">
      <c r="A404" s="74"/>
      <c r="B404" s="74"/>
      <c r="C404" s="76"/>
      <c r="D404" s="15"/>
      <c r="E404" s="15"/>
      <c r="F404" s="15"/>
      <c r="G404" s="80"/>
      <c r="H404" s="79"/>
      <c r="I404" s="80"/>
      <c r="J404" s="80"/>
      <c r="K404" s="80"/>
      <c r="L404" s="76"/>
      <c r="M404" s="76"/>
      <c r="N404" s="76"/>
      <c r="O404" s="76"/>
      <c r="P404" s="5"/>
      <c r="Q404" s="6" t="str">
        <f t="shared" si="137"/>
        <v>OKE</v>
      </c>
      <c r="R404" s="6"/>
    </row>
    <row r="405" spans="1:18" ht="15" hidden="1" thickBot="1" x14ac:dyDescent="0.25">
      <c r="A405" s="74">
        <v>8</v>
      </c>
      <c r="B405" s="75" t="s">
        <v>29</v>
      </c>
      <c r="C405" s="76" t="s">
        <v>30</v>
      </c>
      <c r="D405" s="15">
        <v>51600000</v>
      </c>
      <c r="E405" s="15"/>
      <c r="F405" s="15"/>
      <c r="G405" s="80">
        <v>13832900</v>
      </c>
      <c r="H405" s="79">
        <v>1723500</v>
      </c>
      <c r="I405" s="15">
        <f>+G405+H405</f>
        <v>15556400</v>
      </c>
      <c r="J405" s="16">
        <f>+I405/D405</f>
        <v>0.30148062015503874</v>
      </c>
      <c r="K405" s="80">
        <v>12211200</v>
      </c>
      <c r="L405" s="80">
        <v>3345200</v>
      </c>
      <c r="M405" s="80">
        <f>+K405+L405</f>
        <v>15556400</v>
      </c>
      <c r="N405" s="16">
        <f>+M405/D405</f>
        <v>0.30148062015503874</v>
      </c>
      <c r="O405" s="80">
        <f>+D405-I405</f>
        <v>36043600</v>
      </c>
      <c r="P405" s="5"/>
      <c r="Q405" s="6" t="str">
        <f t="shared" si="137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37"/>
        <v>OKE</v>
      </c>
      <c r="R406" s="6"/>
    </row>
    <row r="407" spans="1:18" ht="15" hidden="1" thickBot="1" x14ac:dyDescent="0.25">
      <c r="A407" s="74">
        <v>9</v>
      </c>
      <c r="B407" s="75" t="s">
        <v>62</v>
      </c>
      <c r="C407" s="76" t="s">
        <v>68</v>
      </c>
      <c r="D407" s="15">
        <v>20000000</v>
      </c>
      <c r="E407" s="15"/>
      <c r="F407" s="15"/>
      <c r="G407" s="80">
        <v>17000000</v>
      </c>
      <c r="H407" s="79">
        <v>3000000</v>
      </c>
      <c r="I407" s="15">
        <f>+G407+H407</f>
        <v>20000000</v>
      </c>
      <c r="J407" s="16">
        <f>+I407/D407</f>
        <v>1</v>
      </c>
      <c r="K407" s="80">
        <v>13780000</v>
      </c>
      <c r="L407" s="80">
        <v>6220000</v>
      </c>
      <c r="M407" s="80">
        <f>+K407+L407</f>
        <v>20000000</v>
      </c>
      <c r="N407" s="16">
        <f>+M407/D407</f>
        <v>1</v>
      </c>
      <c r="O407" s="80">
        <f>+D407-I407</f>
        <v>0</v>
      </c>
      <c r="P407" s="5"/>
      <c r="Q407" s="6" t="str">
        <f t="shared" si="137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37"/>
        <v>OKE</v>
      </c>
      <c r="R408" s="6"/>
    </row>
    <row r="409" spans="1:18" ht="15" hidden="1" thickBot="1" x14ac:dyDescent="0.25">
      <c r="A409" s="74"/>
      <c r="B409" s="74"/>
      <c r="C409" s="9" t="s">
        <v>48</v>
      </c>
      <c r="D409" s="10">
        <f>+D407+D405+D403+D401+D399+D397+D392+D390</f>
        <v>268080000</v>
      </c>
      <c r="E409" s="10"/>
      <c r="F409" s="10"/>
      <c r="G409" s="10">
        <f>+G407+G405+G403+G401+G399+G397+G392+G390</f>
        <v>133763800</v>
      </c>
      <c r="H409" s="11">
        <f>+H407+H405+H403+H401+H399+H397+H392+H390</f>
        <v>8628300</v>
      </c>
      <c r="I409" s="10">
        <f>+G409+H409</f>
        <v>142392100</v>
      </c>
      <c r="J409" s="12">
        <f>+I409/D409</f>
        <v>0.53115525216353332</v>
      </c>
      <c r="K409" s="10">
        <f>+K407+K405+K403+K401+K399+K397+K392+K390</f>
        <v>114241700</v>
      </c>
      <c r="L409" s="10">
        <f>+L407+L405+L403+L401+L399+L397+L392+L390</f>
        <v>26474800</v>
      </c>
      <c r="M409" s="10">
        <f>+K409+L409</f>
        <v>140716500</v>
      </c>
      <c r="N409" s="12">
        <f>+M409/D409</f>
        <v>0.52490487914055506</v>
      </c>
      <c r="O409" s="10">
        <f>+D409-I409</f>
        <v>125687900</v>
      </c>
      <c r="P409" s="5"/>
      <c r="Q409" s="6" t="str">
        <f t="shared" si="137"/>
        <v>OKE</v>
      </c>
      <c r="R409" s="6"/>
    </row>
    <row r="410" spans="1:18" ht="15" hidden="1" thickBot="1" x14ac:dyDescent="0.25">
      <c r="A410" s="85"/>
      <c r="B410" s="85"/>
      <c r="C410" s="34" t="s">
        <v>31</v>
      </c>
      <c r="D410" s="35"/>
      <c r="E410" s="35"/>
      <c r="F410" s="35"/>
      <c r="G410" s="259"/>
      <c r="H410" s="260"/>
      <c r="I410" s="259"/>
      <c r="J410" s="259"/>
      <c r="K410" s="259"/>
      <c r="L410" s="261"/>
      <c r="M410" s="261"/>
      <c r="N410" s="261"/>
      <c r="O410" s="261"/>
      <c r="P410" s="5"/>
      <c r="Q410" s="6" t="str">
        <f t="shared" si="137"/>
        <v>OKE</v>
      </c>
      <c r="R410" s="6"/>
    </row>
    <row r="411" spans="1:18" ht="15" hidden="1" thickBot="1" x14ac:dyDescent="0.25">
      <c r="A411" s="74"/>
      <c r="B411" s="74"/>
      <c r="C411" s="76"/>
      <c r="D411" s="15"/>
      <c r="E411" s="15"/>
      <c r="F411" s="15"/>
      <c r="G411" s="80"/>
      <c r="H411" s="79"/>
      <c r="I411" s="80"/>
      <c r="J411" s="80"/>
      <c r="K411" s="80"/>
      <c r="L411" s="76"/>
      <c r="M411" s="76"/>
      <c r="N411" s="76"/>
      <c r="O411" s="76"/>
      <c r="P411" s="5"/>
      <c r="Q411" s="6" t="str">
        <f t="shared" si="137"/>
        <v>OKE</v>
      </c>
      <c r="R411" s="6"/>
    </row>
    <row r="412" spans="1:18" ht="15" hidden="1" thickBot="1" x14ac:dyDescent="0.25">
      <c r="A412" s="7" t="s">
        <v>32</v>
      </c>
      <c r="B412" s="7" t="s">
        <v>33</v>
      </c>
      <c r="C412" s="9" t="s">
        <v>64</v>
      </c>
      <c r="D412" s="10">
        <f>+D415</f>
        <v>10000000</v>
      </c>
      <c r="E412" s="10"/>
      <c r="F412" s="10"/>
      <c r="G412" s="10">
        <f>+G415</f>
        <v>8500000</v>
      </c>
      <c r="H412" s="11">
        <f>+H415</f>
        <v>0</v>
      </c>
      <c r="I412" s="10">
        <f>+G412+H412</f>
        <v>8500000</v>
      </c>
      <c r="J412" s="12">
        <f>+I412/D412</f>
        <v>0.85</v>
      </c>
      <c r="K412" s="10">
        <f>+K415</f>
        <v>6435000</v>
      </c>
      <c r="L412" s="10">
        <f>+L415</f>
        <v>2420000</v>
      </c>
      <c r="M412" s="10">
        <f>+K412+L412</f>
        <v>8855000</v>
      </c>
      <c r="N412" s="12">
        <f>+M412/D412</f>
        <v>0.88549999999999995</v>
      </c>
      <c r="O412" s="10">
        <f>+D412-I412</f>
        <v>1500000</v>
      </c>
      <c r="P412" s="5"/>
      <c r="Q412" s="6" t="str">
        <f t="shared" si="137"/>
        <v>Salah</v>
      </c>
      <c r="R412" s="6"/>
    </row>
    <row r="413" spans="1:18" ht="15" hidden="1" thickBot="1" x14ac:dyDescent="0.25">
      <c r="A413" s="74"/>
      <c r="B413" s="74"/>
      <c r="C413" s="9" t="s">
        <v>49</v>
      </c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37"/>
        <v>OKE</v>
      </c>
      <c r="R413" s="6"/>
    </row>
    <row r="414" spans="1:18" ht="15" hidden="1" thickBot="1" x14ac:dyDescent="0.25">
      <c r="A414" s="74"/>
      <c r="B414" s="74"/>
      <c r="C414" s="76"/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si="137"/>
        <v>OKE</v>
      </c>
      <c r="R414" s="6"/>
    </row>
    <row r="415" spans="1:18" ht="15" hidden="1" thickBot="1" x14ac:dyDescent="0.25">
      <c r="A415" s="74">
        <v>10</v>
      </c>
      <c r="B415" s="75" t="s">
        <v>61</v>
      </c>
      <c r="C415" s="8" t="s">
        <v>99</v>
      </c>
      <c r="D415" s="15">
        <v>10000000</v>
      </c>
      <c r="E415" s="15"/>
      <c r="F415" s="15"/>
      <c r="G415" s="80">
        <v>8500000</v>
      </c>
      <c r="H415" s="79">
        <v>0</v>
      </c>
      <c r="I415" s="15">
        <f>+G415+H415</f>
        <v>8500000</v>
      </c>
      <c r="J415" s="16">
        <f>+I415/D415</f>
        <v>0.85</v>
      </c>
      <c r="K415" s="80">
        <v>6435000</v>
      </c>
      <c r="L415" s="80">
        <v>2420000</v>
      </c>
      <c r="M415" s="80">
        <f>+K415+L415</f>
        <v>8855000</v>
      </c>
      <c r="N415" s="16">
        <f>+M415/D415</f>
        <v>0.88549999999999995</v>
      </c>
      <c r="O415" s="80">
        <f>+D415-I415</f>
        <v>1500000</v>
      </c>
      <c r="P415" s="5"/>
      <c r="Q415" s="6" t="str">
        <f t="shared" si="137"/>
        <v>Salah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37"/>
        <v>OKE</v>
      </c>
      <c r="R416" s="6"/>
    </row>
    <row r="417" spans="1:18" ht="15" hidden="1" thickBot="1" x14ac:dyDescent="0.25">
      <c r="A417" s="74"/>
      <c r="B417" s="74"/>
      <c r="C417" s="9" t="s">
        <v>65</v>
      </c>
      <c r="D417" s="10">
        <f>+D415</f>
        <v>10000000</v>
      </c>
      <c r="E417" s="10"/>
      <c r="F417" s="10"/>
      <c r="G417" s="10">
        <f>+G415</f>
        <v>8500000</v>
      </c>
      <c r="H417" s="11">
        <f>+H415</f>
        <v>0</v>
      </c>
      <c r="I417" s="10">
        <f>+G417+H417</f>
        <v>8500000</v>
      </c>
      <c r="J417" s="12">
        <f>+I417/D417</f>
        <v>0.85</v>
      </c>
      <c r="K417" s="10">
        <f>+K415</f>
        <v>6435000</v>
      </c>
      <c r="L417" s="10">
        <f>+L415</f>
        <v>2420000</v>
      </c>
      <c r="M417" s="10">
        <f>+K417+L417</f>
        <v>8855000</v>
      </c>
      <c r="N417" s="12">
        <f>+M417/D417</f>
        <v>0.88549999999999995</v>
      </c>
      <c r="O417" s="10">
        <f>+D417-I417</f>
        <v>1500000</v>
      </c>
      <c r="P417" s="5"/>
      <c r="Q417" s="6" t="str">
        <f t="shared" si="137"/>
        <v>Salah</v>
      </c>
      <c r="R417" s="6"/>
    </row>
    <row r="418" spans="1:18" ht="15" hidden="1" thickBot="1" x14ac:dyDescent="0.25">
      <c r="A418" s="81"/>
      <c r="B418" s="81"/>
      <c r="C418" s="23" t="s">
        <v>66</v>
      </c>
      <c r="D418" s="32"/>
      <c r="E418" s="32"/>
      <c r="F418" s="32"/>
      <c r="G418" s="252"/>
      <c r="H418" s="253"/>
      <c r="I418" s="252"/>
      <c r="J418" s="252"/>
      <c r="K418" s="252"/>
      <c r="L418" s="251"/>
      <c r="M418" s="251"/>
      <c r="N418" s="251"/>
      <c r="O418" s="251"/>
      <c r="P418" s="5"/>
      <c r="Q418" s="6" t="str">
        <f t="shared" si="137"/>
        <v>OKE</v>
      </c>
      <c r="R418" s="6"/>
    </row>
    <row r="419" spans="1:18" ht="15" hidden="1" thickBot="1" x14ac:dyDescent="0.25">
      <c r="B419" s="88"/>
      <c r="C419" s="26"/>
      <c r="D419" s="31"/>
      <c r="E419" s="31"/>
      <c r="F419" s="31"/>
      <c r="G419" s="179"/>
      <c r="H419" s="258"/>
      <c r="I419" s="179"/>
      <c r="J419" s="179"/>
      <c r="K419" s="179"/>
      <c r="L419" s="77"/>
      <c r="M419" s="77"/>
      <c r="N419" s="77"/>
      <c r="O419" s="77"/>
      <c r="P419" s="5"/>
      <c r="Q419" s="6" t="str">
        <f t="shared" si="137"/>
        <v>OKE</v>
      </c>
      <c r="R419" s="6"/>
    </row>
    <row r="420" spans="1:18" ht="15" hidden="1" thickBot="1" x14ac:dyDescent="0.25">
      <c r="B420" s="88"/>
      <c r="C420" s="26"/>
      <c r="D420" s="31"/>
      <c r="E420" s="31"/>
      <c r="F420" s="31"/>
      <c r="G420" s="179"/>
      <c r="H420" s="258"/>
      <c r="I420" s="179"/>
      <c r="J420" s="179"/>
      <c r="K420" s="179"/>
      <c r="L420" s="77"/>
      <c r="M420" s="77"/>
      <c r="N420" s="77"/>
      <c r="O420" s="77"/>
      <c r="P420" s="5"/>
      <c r="Q420" s="6" t="str">
        <f t="shared" si="137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37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37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37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37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37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37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37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37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37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37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37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37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37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37"/>
        <v>OKE</v>
      </c>
      <c r="R434" s="6"/>
    </row>
    <row r="435" spans="1:18" ht="14.1" hidden="1" customHeight="1" x14ac:dyDescent="0.2">
      <c r="A435" s="361" t="s">
        <v>2</v>
      </c>
      <c r="B435" s="361" t="s">
        <v>3</v>
      </c>
      <c r="C435" s="361" t="s">
        <v>4</v>
      </c>
      <c r="D435" s="361" t="s">
        <v>5</v>
      </c>
      <c r="E435" s="197"/>
      <c r="F435" s="197"/>
      <c r="G435" s="358" t="s">
        <v>11</v>
      </c>
      <c r="H435" s="359"/>
      <c r="I435" s="359"/>
      <c r="J435" s="360"/>
      <c r="K435" s="358" t="s">
        <v>9</v>
      </c>
      <c r="L435" s="359"/>
      <c r="M435" s="359"/>
      <c r="N435" s="360"/>
      <c r="O435" s="361" t="s">
        <v>10</v>
      </c>
      <c r="P435" s="5"/>
      <c r="Q435" s="6" t="str">
        <f t="shared" si="137"/>
        <v>OKE</v>
      </c>
      <c r="R435" s="6"/>
    </row>
    <row r="436" spans="1:18" ht="14.1" hidden="1" customHeight="1" x14ac:dyDescent="0.2">
      <c r="A436" s="362"/>
      <c r="B436" s="362"/>
      <c r="C436" s="362"/>
      <c r="D436" s="362"/>
      <c r="E436" s="44"/>
      <c r="F436" s="44"/>
      <c r="G436" s="358" t="s">
        <v>74</v>
      </c>
      <c r="H436" s="359"/>
      <c r="I436" s="359"/>
      <c r="J436" s="360"/>
      <c r="K436" s="358" t="s">
        <v>12</v>
      </c>
      <c r="L436" s="359"/>
      <c r="M436" s="359"/>
      <c r="N436" s="360"/>
      <c r="O436" s="362"/>
      <c r="P436" s="5"/>
      <c r="Q436" s="6" t="str">
        <f t="shared" ref="Q436:Q460" si="138">IF(M436&lt;=I436,"OKE","Salah")</f>
        <v>OKE</v>
      </c>
      <c r="R436" s="6"/>
    </row>
    <row r="437" spans="1:18" ht="14.1" hidden="1" customHeight="1" x14ac:dyDescent="0.2">
      <c r="A437" s="378"/>
      <c r="B437" s="378"/>
      <c r="C437" s="378"/>
      <c r="D437" s="378"/>
      <c r="E437" s="196"/>
      <c r="F437" s="196"/>
      <c r="G437" s="144" t="s">
        <v>13</v>
      </c>
      <c r="H437" s="145" t="s">
        <v>14</v>
      </c>
      <c r="I437" s="144" t="s">
        <v>15</v>
      </c>
      <c r="J437" s="144" t="s">
        <v>16</v>
      </c>
      <c r="K437" s="144" t="s">
        <v>13</v>
      </c>
      <c r="L437" s="144" t="s">
        <v>14</v>
      </c>
      <c r="M437" s="144" t="s">
        <v>15</v>
      </c>
      <c r="N437" s="144" t="s">
        <v>16</v>
      </c>
      <c r="O437" s="378"/>
      <c r="P437" s="5"/>
      <c r="Q437" s="6" t="str">
        <f t="shared" si="138"/>
        <v>OKE</v>
      </c>
      <c r="R437" s="6"/>
    </row>
    <row r="438" spans="1:18" ht="15" hidden="1" thickBot="1" x14ac:dyDescent="0.25">
      <c r="A438" s="2">
        <v>1</v>
      </c>
      <c r="B438" s="2">
        <v>2</v>
      </c>
      <c r="C438" s="2">
        <v>3</v>
      </c>
      <c r="D438" s="2">
        <v>4</v>
      </c>
      <c r="E438" s="2"/>
      <c r="F438" s="2"/>
      <c r="G438" s="2">
        <v>5</v>
      </c>
      <c r="H438" s="145">
        <v>6</v>
      </c>
      <c r="I438" s="45" t="s">
        <v>77</v>
      </c>
      <c r="J438" s="45" t="s">
        <v>78</v>
      </c>
      <c r="K438" s="45">
        <v>9</v>
      </c>
      <c r="L438" s="45">
        <v>10</v>
      </c>
      <c r="M438" s="45" t="s">
        <v>79</v>
      </c>
      <c r="N438" s="45" t="s">
        <v>80</v>
      </c>
      <c r="O438" s="45" t="s">
        <v>81</v>
      </c>
      <c r="P438" s="5"/>
      <c r="Q438" s="6" t="str">
        <f t="shared" si="138"/>
        <v>OKE</v>
      </c>
      <c r="R438" s="6"/>
    </row>
    <row r="439" spans="1:18" ht="15" hidden="1" thickBot="1" x14ac:dyDescent="0.25">
      <c r="A439" s="74"/>
      <c r="B439" s="76"/>
      <c r="C439" s="76"/>
      <c r="D439" s="8"/>
      <c r="E439" s="8"/>
      <c r="F439" s="8"/>
      <c r="G439" s="76"/>
      <c r="H439" s="82"/>
      <c r="I439" s="76"/>
      <c r="J439" s="76"/>
      <c r="K439" s="76"/>
      <c r="L439" s="76"/>
      <c r="M439" s="76"/>
      <c r="N439" s="241"/>
      <c r="O439" s="241"/>
      <c r="P439" s="5"/>
      <c r="Q439" s="6" t="str">
        <f t="shared" si="138"/>
        <v>OKE</v>
      </c>
      <c r="R439" s="6"/>
    </row>
    <row r="440" spans="1:18" ht="15" hidden="1" thickBot="1" x14ac:dyDescent="0.25">
      <c r="A440" s="74"/>
      <c r="B440" s="76"/>
      <c r="C440" s="244" t="s">
        <v>97</v>
      </c>
      <c r="D440" s="8"/>
      <c r="E440" s="8"/>
      <c r="F440" s="8"/>
      <c r="G440" s="76"/>
      <c r="H440" s="82"/>
      <c r="I440" s="76"/>
      <c r="J440" s="76"/>
      <c r="K440" s="76"/>
      <c r="L440" s="76"/>
      <c r="M440" s="76"/>
      <c r="N440" s="76"/>
      <c r="O440" s="76"/>
      <c r="P440" s="5"/>
      <c r="Q440" s="6" t="str">
        <f t="shared" si="138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76"/>
      <c r="O441" s="76"/>
      <c r="P441" s="5"/>
      <c r="Q441" s="6" t="str">
        <f t="shared" si="138"/>
        <v>OKE</v>
      </c>
      <c r="R441" s="6"/>
    </row>
    <row r="442" spans="1:18" ht="15" hidden="1" thickBot="1" x14ac:dyDescent="0.25">
      <c r="A442" s="7" t="s">
        <v>36</v>
      </c>
      <c r="B442" s="7" t="s">
        <v>51</v>
      </c>
      <c r="C442" s="9" t="s">
        <v>100</v>
      </c>
      <c r="D442" s="10">
        <f>+D444+D446</f>
        <v>65000000</v>
      </c>
      <c r="E442" s="10"/>
      <c r="F442" s="10"/>
      <c r="G442" s="10">
        <f>+G444+G446</f>
        <v>63849900</v>
      </c>
      <c r="H442" s="11">
        <f>+H444+H446</f>
        <v>0</v>
      </c>
      <c r="I442" s="10">
        <f>+G442+H442</f>
        <v>63849900</v>
      </c>
      <c r="J442" s="12">
        <f>+I442/D442</f>
        <v>0.98230615384615383</v>
      </c>
      <c r="K442" s="10">
        <f>+K444+K446</f>
        <v>60979900</v>
      </c>
      <c r="L442" s="10">
        <f>+L444+L446</f>
        <v>2675000</v>
      </c>
      <c r="M442" s="10">
        <f>+K442+L442</f>
        <v>63654900</v>
      </c>
      <c r="N442" s="12">
        <f>+M442/D442</f>
        <v>0.97930615384615383</v>
      </c>
      <c r="O442" s="10">
        <f>+D442-I442</f>
        <v>1150100</v>
      </c>
      <c r="P442" s="5"/>
      <c r="Q442" s="6" t="str">
        <f t="shared" si="138"/>
        <v>OKE</v>
      </c>
      <c r="R442" s="6"/>
    </row>
    <row r="443" spans="1:18" ht="15" hidden="1" thickBot="1" x14ac:dyDescent="0.25">
      <c r="A443" s="7"/>
      <c r="B443" s="7"/>
      <c r="C443" s="9"/>
      <c r="D443" s="15"/>
      <c r="E443" s="15"/>
      <c r="F443" s="15"/>
      <c r="G443" s="80"/>
      <c r="H443" s="79"/>
      <c r="I443" s="80"/>
      <c r="J443" s="80"/>
      <c r="K443" s="80"/>
      <c r="L443" s="93"/>
      <c r="M443" s="76"/>
      <c r="N443" s="76"/>
      <c r="O443" s="76"/>
      <c r="P443" s="5"/>
      <c r="Q443" s="6" t="str">
        <f t="shared" si="138"/>
        <v>OKE</v>
      </c>
      <c r="R443" s="6"/>
    </row>
    <row r="444" spans="1:18" ht="15" hidden="1" thickBot="1" x14ac:dyDescent="0.25">
      <c r="A444" s="7"/>
      <c r="B444" s="75" t="s">
        <v>37</v>
      </c>
      <c r="C444" s="8" t="s">
        <v>101</v>
      </c>
      <c r="D444" s="15">
        <v>5000000</v>
      </c>
      <c r="E444" s="15"/>
      <c r="F444" s="15"/>
      <c r="G444" s="80">
        <v>5000000</v>
      </c>
      <c r="H444" s="79">
        <v>0</v>
      </c>
      <c r="I444" s="15">
        <f>+G444+H444</f>
        <v>5000000</v>
      </c>
      <c r="J444" s="16">
        <f>+I444/D444</f>
        <v>1</v>
      </c>
      <c r="K444" s="80">
        <v>2250000</v>
      </c>
      <c r="L444" s="80">
        <v>2675000</v>
      </c>
      <c r="M444" s="80">
        <f>+K444+L444</f>
        <v>4925000</v>
      </c>
      <c r="N444" s="16">
        <f>+M444/D444</f>
        <v>0.98499999999999999</v>
      </c>
      <c r="O444" s="80">
        <f>+D444-I444</f>
        <v>0</v>
      </c>
      <c r="P444" s="5"/>
      <c r="Q444" s="6" t="str">
        <f t="shared" si="138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38"/>
        <v>OKE</v>
      </c>
      <c r="R445" s="6"/>
    </row>
    <row r="446" spans="1:18" ht="15" hidden="1" thickBot="1" x14ac:dyDescent="0.25">
      <c r="A446" s="74">
        <v>11</v>
      </c>
      <c r="B446" s="75" t="s">
        <v>42</v>
      </c>
      <c r="C446" s="76" t="s">
        <v>102</v>
      </c>
      <c r="D446" s="15">
        <v>60000000</v>
      </c>
      <c r="E446" s="15"/>
      <c r="F446" s="15"/>
      <c r="G446" s="80">
        <v>58849900</v>
      </c>
      <c r="H446" s="79">
        <v>0</v>
      </c>
      <c r="I446" s="15">
        <f>+G446+H446</f>
        <v>58849900</v>
      </c>
      <c r="J446" s="16">
        <f>+I446/D446</f>
        <v>0.98083166666666666</v>
      </c>
      <c r="K446" s="80">
        <v>58729900</v>
      </c>
      <c r="L446" s="80">
        <v>0</v>
      </c>
      <c r="M446" s="80">
        <f>+K446+L446</f>
        <v>58729900</v>
      </c>
      <c r="N446" s="16">
        <f>+M446/D446</f>
        <v>0.97883166666666666</v>
      </c>
      <c r="O446" s="80">
        <f>+D446-I446</f>
        <v>1150100</v>
      </c>
      <c r="P446" s="5"/>
      <c r="Q446" s="6" t="str">
        <f t="shared" si="138"/>
        <v>OKE</v>
      </c>
      <c r="R446" s="6"/>
    </row>
    <row r="447" spans="1:18" ht="15" hidden="1" thickBot="1" x14ac:dyDescent="0.25">
      <c r="A447" s="74"/>
      <c r="B447" s="74"/>
      <c r="C447" s="76"/>
      <c r="D447" s="15"/>
      <c r="E447" s="15"/>
      <c r="F447" s="15"/>
      <c r="G447" s="80"/>
      <c r="H447" s="79"/>
      <c r="I447" s="80"/>
      <c r="J447" s="80"/>
      <c r="K447" s="80"/>
      <c r="L447" s="76"/>
      <c r="M447" s="76"/>
      <c r="N447" s="76"/>
      <c r="O447" s="76"/>
      <c r="P447" s="5"/>
      <c r="Q447" s="6" t="str">
        <f t="shared" si="138"/>
        <v>OKE</v>
      </c>
      <c r="R447" s="6"/>
    </row>
    <row r="448" spans="1:18" ht="15" hidden="1" thickBot="1" x14ac:dyDescent="0.25">
      <c r="A448" s="85"/>
      <c r="B448" s="85"/>
      <c r="C448" s="34" t="s">
        <v>103</v>
      </c>
      <c r="D448" s="41">
        <f>+D446+D444</f>
        <v>65000000</v>
      </c>
      <c r="E448" s="41"/>
      <c r="F448" s="41"/>
      <c r="G448" s="41">
        <f>+G446+G444</f>
        <v>63849900</v>
      </c>
      <c r="H448" s="42">
        <f>+H446+H444</f>
        <v>0</v>
      </c>
      <c r="I448" s="41">
        <f>+G448+H448</f>
        <v>63849900</v>
      </c>
      <c r="J448" s="43">
        <f>+I448/D448</f>
        <v>0.98230615384615383</v>
      </c>
      <c r="K448" s="41">
        <f>+K446+K444</f>
        <v>60979900</v>
      </c>
      <c r="L448" s="41">
        <f>+L446+L444</f>
        <v>2675000</v>
      </c>
      <c r="M448" s="259">
        <f>+K448+L448</f>
        <v>63654900</v>
      </c>
      <c r="N448" s="43">
        <f>+M448/D448</f>
        <v>0.97930615384615383</v>
      </c>
      <c r="O448" s="41">
        <f>+D448-I448</f>
        <v>1150100</v>
      </c>
      <c r="P448" s="5"/>
      <c r="Q448" s="6" t="str">
        <f t="shared" si="138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38"/>
        <v>OKE</v>
      </c>
      <c r="R449" s="6"/>
    </row>
    <row r="450" spans="1:40" ht="15" hidden="1" thickBot="1" x14ac:dyDescent="0.25">
      <c r="A450" s="7" t="s">
        <v>38</v>
      </c>
      <c r="B450" s="7" t="s">
        <v>104</v>
      </c>
      <c r="C450" s="9" t="s">
        <v>105</v>
      </c>
      <c r="D450" s="10">
        <f>+D452+D454</f>
        <v>65000000</v>
      </c>
      <c r="E450" s="10"/>
      <c r="F450" s="10"/>
      <c r="G450" s="10">
        <f>+G452+G454</f>
        <v>63625000</v>
      </c>
      <c r="H450" s="11">
        <f>+H452+H454</f>
        <v>0</v>
      </c>
      <c r="I450" s="10">
        <f>+G450+H450</f>
        <v>63625000</v>
      </c>
      <c r="J450" s="12">
        <f>+I450/D450</f>
        <v>0.97884615384615381</v>
      </c>
      <c r="K450" s="10">
        <f>+K452+K454</f>
        <v>58383200</v>
      </c>
      <c r="L450" s="10">
        <f>+L452+L454</f>
        <v>5241800</v>
      </c>
      <c r="M450" s="10">
        <f>+K450+L450</f>
        <v>63625000</v>
      </c>
      <c r="N450" s="12">
        <f>+M450/D450</f>
        <v>0.97884615384615381</v>
      </c>
      <c r="O450" s="10">
        <f>+D450-I450</f>
        <v>1375000</v>
      </c>
      <c r="P450" s="5"/>
      <c r="Q450" s="6" t="str">
        <f t="shared" si="138"/>
        <v>OKE</v>
      </c>
      <c r="R450" s="6"/>
    </row>
    <row r="451" spans="1:40" ht="15" hidden="1" thickBot="1" x14ac:dyDescent="0.25">
      <c r="A451" s="7"/>
      <c r="B451" s="7"/>
      <c r="C451" s="9"/>
      <c r="D451" s="15"/>
      <c r="E451" s="15"/>
      <c r="F451" s="15"/>
      <c r="G451" s="80"/>
      <c r="H451" s="79"/>
      <c r="I451" s="80"/>
      <c r="J451" s="80"/>
      <c r="K451" s="80"/>
      <c r="L451" s="93"/>
      <c r="M451" s="76"/>
      <c r="N451" s="76"/>
      <c r="O451" s="76"/>
      <c r="P451" s="5"/>
      <c r="Q451" s="6" t="str">
        <f t="shared" si="138"/>
        <v>OKE</v>
      </c>
      <c r="R451" s="6"/>
    </row>
    <row r="452" spans="1:40" ht="15" hidden="1" thickBot="1" x14ac:dyDescent="0.25">
      <c r="A452" s="74">
        <v>12</v>
      </c>
      <c r="B452" s="75" t="s">
        <v>71</v>
      </c>
      <c r="C452" s="76" t="s">
        <v>106</v>
      </c>
      <c r="D452" s="15">
        <v>32000000</v>
      </c>
      <c r="E452" s="15"/>
      <c r="F452" s="15"/>
      <c r="G452" s="80">
        <v>32000000</v>
      </c>
      <c r="H452" s="79">
        <v>0</v>
      </c>
      <c r="I452" s="15">
        <f>+G452+H452</f>
        <v>32000000</v>
      </c>
      <c r="J452" s="16">
        <f>+I452/D452</f>
        <v>1</v>
      </c>
      <c r="K452" s="80">
        <v>26758200</v>
      </c>
      <c r="L452" s="80">
        <v>5241800</v>
      </c>
      <c r="M452" s="80">
        <f>+K452+L452</f>
        <v>32000000</v>
      </c>
      <c r="N452" s="16">
        <f>+M452/D452</f>
        <v>1</v>
      </c>
      <c r="O452" s="80">
        <f>+D452-I452</f>
        <v>0</v>
      </c>
      <c r="P452" s="5"/>
      <c r="Q452" s="6" t="str">
        <f t="shared" si="138"/>
        <v>OKE</v>
      </c>
      <c r="R452" s="6"/>
    </row>
    <row r="453" spans="1:40" ht="15" hidden="1" thickBot="1" x14ac:dyDescent="0.25">
      <c r="A453" s="74"/>
      <c r="B453" s="74"/>
      <c r="C453" s="76"/>
      <c r="D453" s="15"/>
      <c r="E453" s="15"/>
      <c r="F453" s="15"/>
      <c r="G453" s="80"/>
      <c r="H453" s="79"/>
      <c r="I453" s="80"/>
      <c r="J453" s="80"/>
      <c r="K453" s="270"/>
      <c r="L453" s="93"/>
      <c r="M453" s="76"/>
      <c r="N453" s="76"/>
      <c r="O453" s="76"/>
      <c r="P453" s="5"/>
      <c r="Q453" s="6" t="str">
        <f t="shared" si="138"/>
        <v>OKE</v>
      </c>
      <c r="R453" s="6"/>
    </row>
    <row r="454" spans="1:40" ht="15" hidden="1" thickBot="1" x14ac:dyDescent="0.25">
      <c r="A454" s="74">
        <v>13</v>
      </c>
      <c r="B454" s="75" t="s">
        <v>107</v>
      </c>
      <c r="C454" s="76" t="s">
        <v>108</v>
      </c>
      <c r="D454" s="15">
        <v>33000000</v>
      </c>
      <c r="E454" s="15"/>
      <c r="F454" s="15"/>
      <c r="G454" s="80">
        <v>31625000</v>
      </c>
      <c r="H454" s="79">
        <v>0</v>
      </c>
      <c r="I454" s="15">
        <f>+G454+H454</f>
        <v>31625000</v>
      </c>
      <c r="J454" s="16">
        <f>+I454/D454</f>
        <v>0.95833333333333337</v>
      </c>
      <c r="K454" s="80">
        <v>31625000</v>
      </c>
      <c r="L454" s="80">
        <v>0</v>
      </c>
      <c r="M454" s="80">
        <f>+K454+L454</f>
        <v>31625000</v>
      </c>
      <c r="N454" s="16">
        <f>+M454/D454</f>
        <v>0.95833333333333337</v>
      </c>
      <c r="O454" s="80">
        <f>+D454-I454</f>
        <v>1375000</v>
      </c>
      <c r="P454" s="5"/>
      <c r="Q454" s="6" t="str">
        <f t="shared" si="138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80"/>
      <c r="L455" s="76"/>
      <c r="M455" s="76"/>
      <c r="N455" s="76"/>
      <c r="O455" s="76"/>
      <c r="P455" s="5"/>
      <c r="Q455" s="6" t="str">
        <f t="shared" si="138"/>
        <v>OKE</v>
      </c>
      <c r="R455" s="6"/>
    </row>
    <row r="456" spans="1:40" ht="15" hidden="1" thickBot="1" x14ac:dyDescent="0.25">
      <c r="A456" s="85"/>
      <c r="B456" s="85"/>
      <c r="C456" s="34" t="s">
        <v>109</v>
      </c>
      <c r="D456" s="41">
        <f>+D454+D452</f>
        <v>65000000</v>
      </c>
      <c r="E456" s="41"/>
      <c r="F456" s="41"/>
      <c r="G456" s="41">
        <f>+G454+G452</f>
        <v>63625000</v>
      </c>
      <c r="H456" s="42">
        <f>+H454+H452</f>
        <v>0</v>
      </c>
      <c r="I456" s="41">
        <f>+G456+H456</f>
        <v>63625000</v>
      </c>
      <c r="J456" s="43">
        <f>+I456/D456</f>
        <v>0.97884615384615381</v>
      </c>
      <c r="K456" s="41">
        <f>+K454+K452</f>
        <v>58383200</v>
      </c>
      <c r="L456" s="41">
        <f>+L454+L452</f>
        <v>5241800</v>
      </c>
      <c r="M456" s="41">
        <f>+K456+L456</f>
        <v>63625000</v>
      </c>
      <c r="N456" s="43">
        <f>+M456/D456</f>
        <v>0.97884615384615381</v>
      </c>
      <c r="O456" s="41">
        <f>+D456-I456</f>
        <v>1375000</v>
      </c>
      <c r="P456" s="5"/>
      <c r="Q456" s="6" t="str">
        <f t="shared" si="138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93"/>
      <c r="M457" s="76"/>
      <c r="N457" s="76"/>
      <c r="O457" s="76"/>
      <c r="P457" s="5"/>
      <c r="Q457" s="6" t="str">
        <f t="shared" si="138"/>
        <v>OKE</v>
      </c>
      <c r="R457" s="6"/>
    </row>
    <row r="458" spans="1:40" ht="15" hidden="1" thickBot="1" x14ac:dyDescent="0.25">
      <c r="A458" s="92"/>
      <c r="B458" s="92"/>
      <c r="C458" s="54"/>
      <c r="D458" s="55"/>
      <c r="E458" s="55"/>
      <c r="F458" s="55"/>
      <c r="G458" s="55"/>
      <c r="H458" s="56"/>
      <c r="I458" s="55"/>
      <c r="J458" s="57"/>
      <c r="K458" s="55"/>
      <c r="L458" s="55"/>
      <c r="M458" s="58"/>
      <c r="N458" s="59"/>
      <c r="O458" s="58"/>
      <c r="P458" s="5"/>
      <c r="Q458" s="6" t="str">
        <f t="shared" si="138"/>
        <v>OKE</v>
      </c>
      <c r="R458" s="6"/>
    </row>
    <row r="459" spans="1:40" s="72" customFormat="1" ht="10.5" customHeight="1" x14ac:dyDescent="0.2">
      <c r="A459" s="435"/>
      <c r="B459" s="436"/>
      <c r="C459" s="439" t="s">
        <v>110</v>
      </c>
      <c r="D459" s="429">
        <f t="shared" ref="D459:I459" si="139">+D30+D47+D62+D77+D98+D113+D126+D161+D179+D253</f>
        <v>70780256093</v>
      </c>
      <c r="E459" s="429">
        <f t="shared" si="139"/>
        <v>-36639150</v>
      </c>
      <c r="F459" s="441">
        <f t="shared" si="139"/>
        <v>70743616943</v>
      </c>
      <c r="G459" s="453">
        <f t="shared" si="139"/>
        <v>36879043164</v>
      </c>
      <c r="H459" s="453">
        <f t="shared" si="139"/>
        <v>6060027268</v>
      </c>
      <c r="I459" s="453">
        <f t="shared" si="139"/>
        <v>42939070432</v>
      </c>
      <c r="J459" s="431">
        <f>+I459/F459</f>
        <v>0.60696741681439814</v>
      </c>
      <c r="K459" s="453">
        <f>+K30+K47+K62+K77+K98+K113+K126+K161+K179+K253</f>
        <v>36845291294</v>
      </c>
      <c r="L459" s="453">
        <f>+L30+L47+L62+L77+L98+L113+L126+L161+L179+L253</f>
        <v>6038681480</v>
      </c>
      <c r="M459" s="453">
        <f>+K459+L459</f>
        <v>42883972774</v>
      </c>
      <c r="N459" s="433">
        <f>+M459/F459</f>
        <v>0.60618858106382589</v>
      </c>
      <c r="O459" s="429">
        <f>+F459-M459</f>
        <v>27859644169</v>
      </c>
      <c r="P459" s="5"/>
      <c r="Q459" s="6" t="str">
        <f t="shared" si="138"/>
        <v>OKE</v>
      </c>
      <c r="R459" s="6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</row>
    <row r="460" spans="1:40" s="73" customFormat="1" ht="18" customHeight="1" thickBot="1" x14ac:dyDescent="0.25">
      <c r="A460" s="437"/>
      <c r="B460" s="438"/>
      <c r="C460" s="430"/>
      <c r="D460" s="440"/>
      <c r="E460" s="440"/>
      <c r="F460" s="442"/>
      <c r="G460" s="454"/>
      <c r="H460" s="454"/>
      <c r="I460" s="462"/>
      <c r="J460" s="432"/>
      <c r="K460" s="454"/>
      <c r="L460" s="454"/>
      <c r="M460" s="462"/>
      <c r="N460" s="434"/>
      <c r="O460" s="430"/>
      <c r="P460" s="77"/>
      <c r="Q460" s="6" t="str">
        <f t="shared" si="138"/>
        <v>OKE</v>
      </c>
      <c r="R460" s="6"/>
      <c r="S460" s="306">
        <f>+S473+juni!S477</f>
        <v>6044004168</v>
      </c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</row>
    <row r="461" spans="1:40" ht="5.25" customHeight="1" x14ac:dyDescent="0.2">
      <c r="A461" s="90"/>
      <c r="B461" s="90"/>
      <c r="C461" s="37"/>
      <c r="D461" s="37"/>
      <c r="E461" s="37"/>
      <c r="F461" s="37"/>
      <c r="G461" s="37"/>
      <c r="H461" s="38"/>
      <c r="I461" s="40"/>
      <c r="J461" s="39"/>
      <c r="K461" s="37"/>
      <c r="L461" s="37"/>
      <c r="M461" s="60"/>
      <c r="N461" s="61"/>
      <c r="O461" s="62"/>
      <c r="P461" s="77"/>
    </row>
    <row r="462" spans="1:40" x14ac:dyDescent="0.2">
      <c r="A462" s="77"/>
      <c r="B462" s="77"/>
      <c r="C462" s="77"/>
      <c r="D462" s="31"/>
      <c r="G462" s="88"/>
      <c r="H462" s="63"/>
      <c r="I462" s="26"/>
      <c r="J462" s="26"/>
      <c r="K462" s="88"/>
      <c r="L462" s="77"/>
      <c r="M462" s="77"/>
      <c r="N462" s="77"/>
      <c r="O462" s="77"/>
      <c r="P462" s="64"/>
      <c r="Q462" s="64"/>
      <c r="R462" s="31" t="s">
        <v>148</v>
      </c>
      <c r="S462" s="189">
        <f>20629678+21862058+664028456</f>
        <v>706520192</v>
      </c>
      <c r="U462" s="309"/>
    </row>
    <row r="463" spans="1:40" hidden="1" x14ac:dyDescent="0.2">
      <c r="A463" s="77"/>
      <c r="B463" s="77"/>
      <c r="C463" s="77"/>
      <c r="G463" s="88"/>
      <c r="H463" s="63"/>
      <c r="I463" s="26"/>
      <c r="J463" s="26"/>
      <c r="K463" s="88"/>
      <c r="L463" s="77"/>
      <c r="M463" s="77"/>
      <c r="N463" s="77"/>
      <c r="O463" s="77"/>
      <c r="P463" s="77"/>
      <c r="Q463" s="77"/>
      <c r="R463" s="77"/>
      <c r="S463" s="189"/>
    </row>
    <row r="464" spans="1:40" hidden="1" x14ac:dyDescent="0.2">
      <c r="A464" s="77"/>
      <c r="B464" s="77"/>
      <c r="C464" s="77"/>
      <c r="G464" s="26"/>
      <c r="H464" s="271"/>
      <c r="I464" s="88"/>
      <c r="J464" s="88"/>
      <c r="K464" s="88"/>
      <c r="L464" s="77"/>
      <c r="M464" s="77"/>
      <c r="N464" s="77"/>
      <c r="O464" s="77"/>
      <c r="P464" s="77"/>
      <c r="Q464" s="77"/>
      <c r="R464" s="77"/>
      <c r="S464" s="189"/>
    </row>
    <row r="465" spans="1:21" x14ac:dyDescent="0.2">
      <c r="A465" s="77"/>
      <c r="B465" s="77"/>
      <c r="C465" s="77"/>
      <c r="D465" s="31"/>
      <c r="G465" s="26"/>
      <c r="H465" s="271"/>
      <c r="I465" s="88"/>
      <c r="J465" s="88"/>
      <c r="K465" s="88"/>
      <c r="L465" s="425" t="s">
        <v>370</v>
      </c>
      <c r="M465" s="426"/>
      <c r="N465" s="426"/>
      <c r="O465" s="426"/>
      <c r="P465" s="77" t="s">
        <v>302</v>
      </c>
      <c r="Q465" s="179">
        <f>56354856+4598328+749681</f>
        <v>61702865</v>
      </c>
      <c r="R465" s="77" t="s">
        <v>269</v>
      </c>
      <c r="S465" s="189">
        <v>72037500</v>
      </c>
      <c r="U465" s="69"/>
    </row>
    <row r="466" spans="1:21" x14ac:dyDescent="0.2">
      <c r="A466" s="77"/>
      <c r="B466" s="77"/>
      <c r="C466" s="77"/>
      <c r="D466" s="31"/>
      <c r="G466" s="88"/>
      <c r="H466" s="271"/>
      <c r="I466" s="88"/>
      <c r="J466" s="88"/>
      <c r="K466" s="88"/>
      <c r="L466" s="425" t="s">
        <v>340</v>
      </c>
      <c r="M466" s="426"/>
      <c r="N466" s="426"/>
      <c r="O466" s="426"/>
      <c r="P466" s="77" t="s">
        <v>268</v>
      </c>
      <c r="Q466" s="179">
        <f>7678900+73628352+2791971</f>
        <v>84099223</v>
      </c>
      <c r="R466" s="77" t="s">
        <v>149</v>
      </c>
      <c r="S466" s="189">
        <f>15487500+849263907</f>
        <v>864751407</v>
      </c>
    </row>
    <row r="467" spans="1:21" hidden="1" x14ac:dyDescent="0.2">
      <c r="A467" s="77"/>
      <c r="B467" s="77"/>
      <c r="C467" s="77"/>
      <c r="G467" s="88"/>
      <c r="H467" s="271"/>
      <c r="I467" s="88"/>
      <c r="J467" s="88"/>
      <c r="K467" s="88"/>
      <c r="L467" s="26"/>
      <c r="M467" s="88"/>
      <c r="N467" s="88"/>
      <c r="O467" s="77"/>
      <c r="P467" s="77"/>
      <c r="Q467" s="179"/>
      <c r="R467" s="77"/>
      <c r="S467" s="77"/>
    </row>
    <row r="468" spans="1:21" hidden="1" x14ac:dyDescent="0.2">
      <c r="A468" s="77"/>
      <c r="B468" s="77"/>
      <c r="C468" s="77"/>
      <c r="G468" s="88"/>
      <c r="H468" s="271"/>
      <c r="I468" s="88"/>
      <c r="J468" s="88"/>
      <c r="K468" s="88"/>
      <c r="L468" s="88"/>
      <c r="M468" s="88"/>
      <c r="N468" s="88"/>
      <c r="O468" s="77"/>
      <c r="P468" s="77"/>
      <c r="Q468" s="179"/>
      <c r="R468" s="77"/>
      <c r="S468" s="77"/>
    </row>
    <row r="469" spans="1:21" hidden="1" x14ac:dyDescent="0.2">
      <c r="A469" s="77"/>
      <c r="B469" s="77"/>
      <c r="C469" s="77"/>
      <c r="G469" s="88"/>
      <c r="H469" s="271"/>
      <c r="I469" s="88"/>
      <c r="J469" s="88"/>
      <c r="K469" s="88"/>
      <c r="L469" s="88"/>
      <c r="M469" s="88"/>
      <c r="N469" s="88"/>
      <c r="O469" s="77"/>
      <c r="P469" s="77"/>
      <c r="Q469" s="179"/>
      <c r="R469" s="77"/>
      <c r="S469" s="77"/>
    </row>
    <row r="470" spans="1:21" hidden="1" x14ac:dyDescent="0.2">
      <c r="A470" s="77"/>
      <c r="B470" s="77"/>
      <c r="C470" s="77"/>
      <c r="G470" s="88"/>
      <c r="H470" s="65"/>
      <c r="I470" s="200"/>
      <c r="J470" s="200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21" ht="12.75" customHeight="1" x14ac:dyDescent="0.2">
      <c r="A471" s="77"/>
      <c r="B471" s="77"/>
      <c r="C471" s="77"/>
      <c r="D471" s="31"/>
      <c r="G471" s="88"/>
      <c r="H471" s="65"/>
      <c r="I471" s="200"/>
      <c r="J471" s="200"/>
      <c r="K471" s="88"/>
      <c r="L471" s="425" t="s">
        <v>146</v>
      </c>
      <c r="M471" s="426"/>
      <c r="N471" s="426"/>
      <c r="O471" s="426"/>
      <c r="P471" s="77" t="s">
        <v>270</v>
      </c>
      <c r="Q471" s="179">
        <v>0</v>
      </c>
      <c r="R471" s="77" t="s">
        <v>271</v>
      </c>
      <c r="S471" s="179">
        <f>+Q475</f>
        <v>3683896874</v>
      </c>
    </row>
    <row r="472" spans="1:21" ht="12.75" customHeight="1" x14ac:dyDescent="0.2">
      <c r="A472" s="77"/>
      <c r="B472" s="77"/>
      <c r="C472" s="77"/>
      <c r="G472" s="88"/>
      <c r="H472" s="65"/>
      <c r="I472" s="200"/>
      <c r="J472" s="200"/>
      <c r="K472" s="88"/>
      <c r="L472" s="425"/>
      <c r="M472" s="426"/>
      <c r="N472" s="426"/>
      <c r="O472" s="426"/>
      <c r="P472" s="77" t="s">
        <v>147</v>
      </c>
      <c r="Q472" s="179">
        <v>28819570</v>
      </c>
      <c r="R472" s="77"/>
      <c r="S472" s="278"/>
    </row>
    <row r="473" spans="1:21" ht="14.25" customHeight="1" x14ac:dyDescent="0.2">
      <c r="A473" s="77"/>
      <c r="B473" s="77"/>
      <c r="C473" s="77"/>
      <c r="G473" s="88"/>
      <c r="H473" s="65"/>
      <c r="I473" s="200"/>
      <c r="J473" s="200"/>
      <c r="K473" s="88"/>
      <c r="L473" s="88"/>
      <c r="M473" s="88"/>
      <c r="N473" s="88"/>
      <c r="O473" s="77"/>
      <c r="P473" s="77" t="s">
        <v>151</v>
      </c>
      <c r="Q473" s="179">
        <v>43440000</v>
      </c>
      <c r="R473" s="277" t="s">
        <v>152</v>
      </c>
      <c r="S473" s="279">
        <f>SUM(S462:S471)</f>
        <v>5327205973</v>
      </c>
    </row>
    <row r="474" spans="1:21" ht="14.2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88"/>
      <c r="M474" s="88"/>
      <c r="N474" s="88"/>
      <c r="O474" s="77"/>
      <c r="P474" s="77" t="s">
        <v>274</v>
      </c>
      <c r="Q474" s="179">
        <f>35700000+136000000+13484900+13006500+39000000+4850000+18695750+211850000+12558000+8400000+40270000+4260000+46150000+59620000+17150000+35781315+3195119+14300000+3500000+51750000+45969000+22425000+157173300+9960000+2241000+115730000+32250000+1389505000+80261182+37350000+20804000+41400000+21450000+27060000+20000000+49900000+11200000+28794000+16625000+44000000+522216150</f>
        <v>3465835216</v>
      </c>
      <c r="R474" s="77"/>
      <c r="S474" s="179"/>
    </row>
    <row r="475" spans="1:21" x14ac:dyDescent="0.2">
      <c r="A475" s="77"/>
      <c r="B475" s="77"/>
      <c r="C475" s="77"/>
      <c r="G475" s="66"/>
      <c r="H475" s="65"/>
      <c r="I475" s="200"/>
      <c r="J475" s="200"/>
      <c r="K475" s="88"/>
      <c r="L475" s="427" t="s">
        <v>343</v>
      </c>
      <c r="M475" s="427"/>
      <c r="N475" s="427"/>
      <c r="O475" s="427"/>
      <c r="P475" s="277" t="s">
        <v>273</v>
      </c>
      <c r="Q475" s="280">
        <f>SUM(Q465:Q474)</f>
        <v>3683896874</v>
      </c>
      <c r="R475" s="192" t="s">
        <v>150</v>
      </c>
      <c r="S475" s="191">
        <f>+L459-S473</f>
        <v>711475507</v>
      </c>
    </row>
    <row r="476" spans="1:21" ht="15" customHeight="1" x14ac:dyDescent="0.2">
      <c r="A476" s="77"/>
      <c r="B476" s="77"/>
      <c r="C476" s="77"/>
      <c r="G476" s="67"/>
      <c r="H476" s="271"/>
      <c r="I476" s="88"/>
      <c r="J476" s="88"/>
      <c r="K476" s="88"/>
      <c r="L476" s="428" t="s">
        <v>342</v>
      </c>
      <c r="M476" s="428"/>
      <c r="N476" s="428"/>
      <c r="O476" s="428"/>
      <c r="P476" s="77"/>
      <c r="Q476" s="77"/>
      <c r="R476" s="192" t="s">
        <v>272</v>
      </c>
      <c r="S476" s="191">
        <f>+S473+S475+1343435000</f>
        <v>7382116480</v>
      </c>
    </row>
    <row r="478" spans="1:21" x14ac:dyDescent="0.2">
      <c r="S478" s="69">
        <f>+S475-711475507</f>
        <v>0</v>
      </c>
    </row>
    <row r="479" spans="1:21" x14ac:dyDescent="0.2">
      <c r="S479" s="319"/>
    </row>
    <row r="480" spans="1:21" x14ac:dyDescent="0.2">
      <c r="S480" s="309"/>
    </row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</sheetData>
  <mergeCells count="245">
    <mergeCell ref="M30:M31"/>
    <mergeCell ref="N30:N31"/>
    <mergeCell ref="O30:O31"/>
    <mergeCell ref="I30:I31"/>
    <mergeCell ref="J30:J31"/>
    <mergeCell ref="K30:K31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O47:O48"/>
    <mergeCell ref="A62:A63"/>
    <mergeCell ref="B62:B63"/>
    <mergeCell ref="C62:C63"/>
    <mergeCell ref="D62:D63"/>
    <mergeCell ref="E62:E63"/>
    <mergeCell ref="F62:F63"/>
    <mergeCell ref="G62:G63"/>
    <mergeCell ref="G47:G48"/>
    <mergeCell ref="H47:H48"/>
    <mergeCell ref="I47:I48"/>
    <mergeCell ref="J47:J48"/>
    <mergeCell ref="K47:K48"/>
    <mergeCell ref="L47:L48"/>
    <mergeCell ref="N62:N63"/>
    <mergeCell ref="O62:O63"/>
    <mergeCell ref="I62:I63"/>
    <mergeCell ref="J62:J63"/>
    <mergeCell ref="A47:A48"/>
    <mergeCell ref="B47:B48"/>
    <mergeCell ref="C47:C48"/>
    <mergeCell ref="C77:C78"/>
    <mergeCell ref="D77:D78"/>
    <mergeCell ref="E77:E78"/>
    <mergeCell ref="F77:F78"/>
    <mergeCell ref="G77:G78"/>
    <mergeCell ref="H77:H78"/>
    <mergeCell ref="H62:H63"/>
    <mergeCell ref="N47:N48"/>
    <mergeCell ref="D47:D48"/>
    <mergeCell ref="E47:E48"/>
    <mergeCell ref="F47:F48"/>
    <mergeCell ref="J98:J99"/>
    <mergeCell ref="K98:K99"/>
    <mergeCell ref="L98:L99"/>
    <mergeCell ref="M98:M99"/>
    <mergeCell ref="N98:N99"/>
    <mergeCell ref="K62:K63"/>
    <mergeCell ref="L62:L63"/>
    <mergeCell ref="M62:M63"/>
    <mergeCell ref="M47:M48"/>
    <mergeCell ref="O98:O99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I77:I78"/>
    <mergeCell ref="J77:J78"/>
    <mergeCell ref="K77:K78"/>
    <mergeCell ref="L77:L78"/>
    <mergeCell ref="M77:M78"/>
    <mergeCell ref="N77:N78"/>
    <mergeCell ref="A77:A78"/>
    <mergeCell ref="B77:B78"/>
    <mergeCell ref="M113:M114"/>
    <mergeCell ref="N113:N114"/>
    <mergeCell ref="O113:O114"/>
    <mergeCell ref="A126:A127"/>
    <mergeCell ref="B126:B127"/>
    <mergeCell ref="C126:C127"/>
    <mergeCell ref="D126:D127"/>
    <mergeCell ref="E126:E127"/>
    <mergeCell ref="F126:F127"/>
    <mergeCell ref="G126:G127"/>
    <mergeCell ref="G113:G114"/>
    <mergeCell ref="H113:H114"/>
    <mergeCell ref="I113:I114"/>
    <mergeCell ref="J113:J114"/>
    <mergeCell ref="K113:K114"/>
    <mergeCell ref="L113:L114"/>
    <mergeCell ref="A113:A114"/>
    <mergeCell ref="B113:B114"/>
    <mergeCell ref="C113:C114"/>
    <mergeCell ref="D113:D114"/>
    <mergeCell ref="E113:E114"/>
    <mergeCell ref="F113:F114"/>
    <mergeCell ref="N126:N127"/>
    <mergeCell ref="O126:O127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H126:H127"/>
    <mergeCell ref="C149:C150"/>
    <mergeCell ref="I126:I127"/>
    <mergeCell ref="J126:J127"/>
    <mergeCell ref="K126:K127"/>
    <mergeCell ref="L126:L127"/>
    <mergeCell ref="M126:M127"/>
    <mergeCell ref="M179:M180"/>
    <mergeCell ref="N179:N180"/>
    <mergeCell ref="O179:O180"/>
    <mergeCell ref="O161:O162"/>
    <mergeCell ref="I161:I162"/>
    <mergeCell ref="J161:J162"/>
    <mergeCell ref="K161:K162"/>
    <mergeCell ref="L161:L162"/>
    <mergeCell ref="M161:M162"/>
    <mergeCell ref="N161:N162"/>
    <mergeCell ref="C246:C247"/>
    <mergeCell ref="A253:A254"/>
    <mergeCell ref="B253:B254"/>
    <mergeCell ref="C253:C254"/>
    <mergeCell ref="D253:D254"/>
    <mergeCell ref="E253:E254"/>
    <mergeCell ref="J179:J180"/>
    <mergeCell ref="K179:K180"/>
    <mergeCell ref="L179:L180"/>
    <mergeCell ref="L253:L254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C216:C217"/>
    <mergeCell ref="M253:M254"/>
    <mergeCell ref="N253:N254"/>
    <mergeCell ref="O253:O254"/>
    <mergeCell ref="A267:O267"/>
    <mergeCell ref="A268:O268"/>
    <mergeCell ref="F253:F254"/>
    <mergeCell ref="G253:G254"/>
    <mergeCell ref="H253:H254"/>
    <mergeCell ref="I253:I254"/>
    <mergeCell ref="J253:J254"/>
    <mergeCell ref="K253:K254"/>
    <mergeCell ref="A269:O269"/>
    <mergeCell ref="A270:A272"/>
    <mergeCell ref="B270:B272"/>
    <mergeCell ref="C270:C272"/>
    <mergeCell ref="D270:D272"/>
    <mergeCell ref="G270:J270"/>
    <mergeCell ref="K270:N270"/>
    <mergeCell ref="O270:O272"/>
    <mergeCell ref="G271:J271"/>
    <mergeCell ref="K271:N271"/>
    <mergeCell ref="O381:O383"/>
    <mergeCell ref="G382:J382"/>
    <mergeCell ref="A323:O323"/>
    <mergeCell ref="A324:A326"/>
    <mergeCell ref="B324:B326"/>
    <mergeCell ref="C324:C326"/>
    <mergeCell ref="D324:D326"/>
    <mergeCell ref="G324:J324"/>
    <mergeCell ref="K324:N324"/>
    <mergeCell ref="O324:O326"/>
    <mergeCell ref="G325:J325"/>
    <mergeCell ref="K325:N325"/>
    <mergeCell ref="J354:J355"/>
    <mergeCell ref="K354:K355"/>
    <mergeCell ref="L354:L355"/>
    <mergeCell ref="M354:M355"/>
    <mergeCell ref="N354:N355"/>
    <mergeCell ref="A354:A355"/>
    <mergeCell ref="B354:B355"/>
    <mergeCell ref="C354:C355"/>
    <mergeCell ref="D354:D355"/>
    <mergeCell ref="G354:G355"/>
    <mergeCell ref="H354:H355"/>
    <mergeCell ref="A435:A437"/>
    <mergeCell ref="B435:B437"/>
    <mergeCell ref="C435:C437"/>
    <mergeCell ref="D435:D437"/>
    <mergeCell ref="G435:J435"/>
    <mergeCell ref="K435:N435"/>
    <mergeCell ref="O435:O437"/>
    <mergeCell ref="G436:J436"/>
    <mergeCell ref="K436:N436"/>
    <mergeCell ref="A459:B460"/>
    <mergeCell ref="C459:C460"/>
    <mergeCell ref="D459:D460"/>
    <mergeCell ref="E459:E460"/>
    <mergeCell ref="F459:F460"/>
    <mergeCell ref="G459:G460"/>
    <mergeCell ref="H459:H460"/>
    <mergeCell ref="I459:I460"/>
    <mergeCell ref="L465:O465"/>
    <mergeCell ref="C43:C44"/>
    <mergeCell ref="L466:O466"/>
    <mergeCell ref="L471:O471"/>
    <mergeCell ref="L472:O472"/>
    <mergeCell ref="L475:O475"/>
    <mergeCell ref="L476:O476"/>
    <mergeCell ref="J459:J460"/>
    <mergeCell ref="K459:K460"/>
    <mergeCell ref="L459:L460"/>
    <mergeCell ref="M459:M460"/>
    <mergeCell ref="N459:N460"/>
    <mergeCell ref="O459:O460"/>
    <mergeCell ref="K382:N382"/>
    <mergeCell ref="O354:O355"/>
    <mergeCell ref="A378:O378"/>
    <mergeCell ref="A379:O379"/>
    <mergeCell ref="A380:O380"/>
    <mergeCell ref="A381:A383"/>
    <mergeCell ref="B381:B383"/>
    <mergeCell ref="C381:C383"/>
    <mergeCell ref="D381:D383"/>
    <mergeCell ref="G381:J381"/>
    <mergeCell ref="K381:N381"/>
    <mergeCell ref="I354:I355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31"/>
  <sheetViews>
    <sheetView topLeftCell="A8" workbookViewId="0">
      <selection activeCell="B18" sqref="B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371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14976986580</v>
      </c>
      <c r="G8" s="107">
        <f>F8/E8</f>
        <v>0.7582268090032348</v>
      </c>
      <c r="H8" s="105">
        <f>SUM(H9:H11)</f>
        <v>14966835280</v>
      </c>
      <c r="I8" s="108">
        <f>H8/E8</f>
        <v>0.75771288801084291</v>
      </c>
      <c r="J8" s="109">
        <f>C8-H8</f>
        <v>4785811820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+juli!I30</f>
        <v>609577780</v>
      </c>
      <c r="G9" s="115">
        <f>F9/E9</f>
        <v>0.54358527711241544</v>
      </c>
      <c r="H9" s="113">
        <f>+juli!M30</f>
        <v>607614280</v>
      </c>
      <c r="I9" s="115">
        <f>H9/E9</f>
        <v>0.54183434437400391</v>
      </c>
      <c r="J9" s="116">
        <f>E9-H9</f>
        <v>513788020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+juli!I62</f>
        <v>14216163300</v>
      </c>
      <c r="G10" s="115">
        <f t="shared" ref="G10:G20" si="0">F10/E10</f>
        <v>0.79100654693953421</v>
      </c>
      <c r="H10" s="113">
        <f>+juli!M62</f>
        <v>14210970500</v>
      </c>
      <c r="I10" s="115">
        <f t="shared" ref="I10:I20" si="1">H10/E10</f>
        <v>0.7907176125266222</v>
      </c>
      <c r="J10" s="116">
        <f t="shared" ref="J10:J20" si="2">E10-H10</f>
        <v>3761274300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+juli!I47</f>
        <v>151245500</v>
      </c>
      <c r="G11" s="131">
        <f t="shared" si="0"/>
        <v>0.22950758725341427</v>
      </c>
      <c r="H11" s="153">
        <f>+juli!M47</f>
        <v>148250500</v>
      </c>
      <c r="I11" s="131">
        <f t="shared" si="1"/>
        <v>0.2249628224582701</v>
      </c>
      <c r="J11" s="154">
        <f t="shared" si="2"/>
        <v>510749500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5662034885</v>
      </c>
      <c r="G12" s="129">
        <f>F12/E12</f>
        <v>0.53081754787813296</v>
      </c>
      <c r="H12" s="157">
        <f>SUM(H13:H15)</f>
        <v>5634627860</v>
      </c>
      <c r="I12" s="129">
        <f>H12/E12</f>
        <v>0.52824813068085008</v>
      </c>
      <c r="J12" s="159">
        <f t="shared" ref="J12:J16" si="4">C12-H12</f>
        <v>5032003090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+juli!I98</f>
        <v>1435904300</v>
      </c>
      <c r="G13" s="115">
        <f t="shared" si="0"/>
        <v>0.65026430182625272</v>
      </c>
      <c r="H13" s="113">
        <f>+juli!M98</f>
        <v>1430294299</v>
      </c>
      <c r="I13" s="115">
        <f t="shared" si="1"/>
        <v>0.64772375411460537</v>
      </c>
      <c r="J13" s="116">
        <f t="shared" si="2"/>
        <v>777891351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+juli!I77</f>
        <v>3907391750</v>
      </c>
      <c r="G14" s="115">
        <f t="shared" si="0"/>
        <v>0.64735484229038254</v>
      </c>
      <c r="H14" s="113">
        <f>+juli!M77</f>
        <v>3907343406</v>
      </c>
      <c r="I14" s="115">
        <f t="shared" si="1"/>
        <v>0.64734683292646455</v>
      </c>
      <c r="J14" s="116">
        <f t="shared" si="2"/>
        <v>2128591594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+juli!I113</f>
        <v>318738835</v>
      </c>
      <c r="G15" s="121">
        <f t="shared" si="0"/>
        <v>0.13157377906711068</v>
      </c>
      <c r="H15" s="119">
        <f>+juli!M113</f>
        <v>296990155</v>
      </c>
      <c r="I15" s="131">
        <f t="shared" si="1"/>
        <v>0.12259603395700733</v>
      </c>
      <c r="J15" s="122">
        <f t="shared" si="2"/>
        <v>2125520145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40324338893</v>
      </c>
      <c r="D16" s="125">
        <f>SUM(D17:D20)</f>
        <v>0</v>
      </c>
      <c r="E16" s="126">
        <f t="shared" si="3"/>
        <v>40324338893</v>
      </c>
      <c r="F16" s="127">
        <f>SUM(F17:F20)</f>
        <v>22300048967</v>
      </c>
      <c r="G16" s="128">
        <f>F16/E16</f>
        <v>0.55301710032178908</v>
      </c>
      <c r="H16" s="125">
        <f>SUM(H17:H20)</f>
        <v>22282509634</v>
      </c>
      <c r="I16" s="129">
        <f>H16/E16</f>
        <v>0.55258214382946957</v>
      </c>
      <c r="J16" s="130">
        <f t="shared" si="4"/>
        <v>18041829259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+juli!I126</f>
        <v>552250800</v>
      </c>
      <c r="G17" s="115">
        <f t="shared" si="0"/>
        <v>0.49415192512273698</v>
      </c>
      <c r="H17" s="133">
        <f>+juli!M126</f>
        <v>552041800</v>
      </c>
      <c r="I17" s="115">
        <f t="shared" si="1"/>
        <v>0.49396491271397153</v>
      </c>
      <c r="J17" s="116">
        <f t="shared" si="2"/>
        <v>565531100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+juli!I179</f>
        <v>538626820</v>
      </c>
      <c r="G18" s="115">
        <f>F18/E18</f>
        <v>0.45296658154413716</v>
      </c>
      <c r="H18" s="133">
        <f>+juli!M179</f>
        <v>538616720</v>
      </c>
      <c r="I18" s="115">
        <f t="shared" si="1"/>
        <v>0.45295808779242686</v>
      </c>
      <c r="J18" s="116">
        <f t="shared" si="2"/>
        <v>650492680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+juli!F253</f>
        <v>12324425000</v>
      </c>
      <c r="D19" s="133"/>
      <c r="E19" s="114">
        <f t="shared" si="5"/>
        <v>12324425000</v>
      </c>
      <c r="F19" s="133">
        <f>+juli!I253</f>
        <v>7184992413</v>
      </c>
      <c r="G19" s="115">
        <f t="shared" ref="G19" si="6">F19/E19</f>
        <v>0.58298804309328833</v>
      </c>
      <c r="H19" s="133">
        <f>+juli!M253</f>
        <v>7167683880</v>
      </c>
      <c r="I19" s="115">
        <f t="shared" si="1"/>
        <v>0.58158363412491865</v>
      </c>
      <c r="J19" s="116">
        <f t="shared" si="2"/>
        <v>5156741120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+juli!F161</f>
        <v>25693231593</v>
      </c>
      <c r="D20" s="133"/>
      <c r="E20" s="114">
        <f t="shared" si="3"/>
        <v>25693231593</v>
      </c>
      <c r="F20" s="133">
        <f>+juli!I161</f>
        <v>14024178934</v>
      </c>
      <c r="G20" s="115">
        <f t="shared" si="0"/>
        <v>0.54583164765544023</v>
      </c>
      <c r="H20" s="133">
        <f>+juli!M161</f>
        <v>14024167234</v>
      </c>
      <c r="I20" s="115">
        <f t="shared" si="1"/>
        <v>0.54583119228259391</v>
      </c>
      <c r="J20" s="116">
        <f t="shared" si="2"/>
        <v>11669064359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70743616943</v>
      </c>
      <c r="D21" s="163">
        <f>D16+D12+D8</f>
        <v>0</v>
      </c>
      <c r="E21" s="164">
        <f>D21+C21</f>
        <v>70743616943</v>
      </c>
      <c r="F21" s="164">
        <f>F16+F12+F8</f>
        <v>42939070432</v>
      </c>
      <c r="G21" s="165">
        <f>F21/E21</f>
        <v>0.60696741681439814</v>
      </c>
      <c r="H21" s="166">
        <f>H16+H12+H8</f>
        <v>42883972774</v>
      </c>
      <c r="I21" s="165">
        <f>H21/E21</f>
        <v>0.60618858106382589</v>
      </c>
      <c r="J21" s="167">
        <f>E21-H21</f>
        <v>27859644169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F24" s="195"/>
      <c r="H24" s="443" t="s">
        <v>372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66" t="s">
        <v>343</v>
      </c>
      <c r="I30" s="466"/>
      <c r="J30" s="466"/>
      <c r="K30" s="66"/>
    </row>
    <row r="31" spans="1:11" x14ac:dyDescent="0.25">
      <c r="H31" s="465" t="s">
        <v>342</v>
      </c>
      <c r="I31" s="465"/>
      <c r="J31" s="465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E14"/>
  <sheetViews>
    <sheetView topLeftCell="A19" zoomScale="84" zoomScaleNormal="84" workbookViewId="0">
      <selection activeCell="B18" sqref="B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juli'!F9</f>
        <v>609577780</v>
      </c>
      <c r="E4" s="195">
        <f>+'Rekap juli'!H9</f>
        <v>607614280</v>
      </c>
    </row>
    <row r="5" spans="2:5" x14ac:dyDescent="0.25">
      <c r="B5" t="s">
        <v>287</v>
      </c>
      <c r="C5" s="195">
        <f>+'Rekap jan'!C10</f>
        <v>17972244800</v>
      </c>
      <c r="D5" s="195">
        <f>+'Rekap juli'!F10</f>
        <v>14216163300</v>
      </c>
      <c r="E5" s="195">
        <f>+'Rekap juli'!H10</f>
        <v>14210970500</v>
      </c>
    </row>
    <row r="6" spans="2:5" x14ac:dyDescent="0.25">
      <c r="B6" t="s">
        <v>288</v>
      </c>
      <c r="C6" s="195">
        <f>+'Rekap jan'!C11</f>
        <v>659000000</v>
      </c>
      <c r="D6" s="195">
        <f>+'Rekap juli'!F11</f>
        <v>151245500</v>
      </c>
      <c r="E6" s="195">
        <f>+'Rekap juli'!H11</f>
        <v>148250500</v>
      </c>
    </row>
    <row r="7" spans="2:5" x14ac:dyDescent="0.25">
      <c r="B7" s="349" t="s">
        <v>360</v>
      </c>
      <c r="C7" s="195">
        <f>+'Rekap peb'!C13</f>
        <v>2208185650</v>
      </c>
      <c r="D7" s="195">
        <f>+'Rekap juli'!F13</f>
        <v>1435904300</v>
      </c>
      <c r="E7" s="195">
        <f>+'Rekap juli'!H13</f>
        <v>1430294299</v>
      </c>
    </row>
    <row r="8" spans="2:5" x14ac:dyDescent="0.25">
      <c r="B8" t="s">
        <v>284</v>
      </c>
      <c r="C8" s="195">
        <f>+'Rekap jan'!C14</f>
        <v>6035935000</v>
      </c>
      <c r="D8" s="195">
        <f>+'Rekap juli'!F14</f>
        <v>3907391750</v>
      </c>
      <c r="E8" s="195">
        <f>+'Rekap juli'!H14</f>
        <v>3907343406</v>
      </c>
    </row>
    <row r="9" spans="2:5" x14ac:dyDescent="0.25">
      <c r="B9" t="s">
        <v>290</v>
      </c>
      <c r="C9" s="195">
        <f>+'Rekap jan'!C15</f>
        <v>2422510300</v>
      </c>
      <c r="D9" s="195">
        <f>+'Rekap juli'!F15</f>
        <v>318738835</v>
      </c>
      <c r="E9" s="195">
        <f>+'Rekap juli'!H15</f>
        <v>296990155</v>
      </c>
    </row>
    <row r="10" spans="2:5" x14ac:dyDescent="0.25">
      <c r="B10" t="s">
        <v>361</v>
      </c>
      <c r="C10" s="195">
        <f>+'Rekap jan'!C17</f>
        <v>1117572900</v>
      </c>
      <c r="D10" s="195">
        <f>+'Rekap juli'!F17</f>
        <v>552250800</v>
      </c>
      <c r="E10" s="195">
        <f>+'Rekap juli'!H15</f>
        <v>296990155</v>
      </c>
    </row>
    <row r="11" spans="2:5" x14ac:dyDescent="0.25">
      <c r="B11" t="s">
        <v>291</v>
      </c>
      <c r="C11" s="195">
        <f>+'Rekap jan'!C18</f>
        <v>1189109400</v>
      </c>
      <c r="D11" s="195">
        <f>+'Rekap juli'!F18</f>
        <v>538626820</v>
      </c>
      <c r="E11" s="195">
        <f>+'Rekap juli'!H18</f>
        <v>538616720</v>
      </c>
    </row>
    <row r="12" spans="2:5" x14ac:dyDescent="0.25">
      <c r="B12" t="s">
        <v>292</v>
      </c>
      <c r="C12" s="195">
        <f>+'Rekap jan'!C19</f>
        <v>12180425000</v>
      </c>
      <c r="D12" s="195">
        <f>+'Rekap juli'!F19</f>
        <v>7184992413</v>
      </c>
      <c r="E12" s="195">
        <f>+'Rekap juli'!H19</f>
        <v>7167683880</v>
      </c>
    </row>
    <row r="13" spans="2:5" x14ac:dyDescent="0.25">
      <c r="B13" t="s">
        <v>293</v>
      </c>
      <c r="C13" s="195">
        <f>+'Rekap jan'!C20</f>
        <v>25992643593</v>
      </c>
      <c r="D13" s="195">
        <f>+'Rekap juli'!F20</f>
        <v>14024178934</v>
      </c>
      <c r="E13" s="195">
        <f>+'Rekap juli'!H20</f>
        <v>14024167234</v>
      </c>
    </row>
    <row r="14" spans="2:5" x14ac:dyDescent="0.25">
      <c r="C14" s="308">
        <f>SUM(C4:C13)</f>
        <v>70899028943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N588"/>
  <sheetViews>
    <sheetView view="pageBreakPreview" topLeftCell="J459" zoomScale="110" zoomScaleSheetLayoutView="110" workbookViewId="0">
      <selection activeCell="B18" sqref="B18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4" style="68" customWidth="1"/>
    <col min="4" max="4" width="15.85546875" style="5" hidden="1" customWidth="1"/>
    <col min="5" max="5" width="14.57031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9.140625" style="68" customWidth="1"/>
    <col min="20" max="20" width="9.140625" style="68"/>
    <col min="21" max="21" width="18.85546875" style="68" bestFit="1" customWidth="1"/>
    <col min="22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373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609577780</v>
      </c>
      <c r="H12" s="10">
        <f t="shared" si="0"/>
        <v>143055810</v>
      </c>
      <c r="I12" s="10">
        <f>+G12+H12</f>
        <v>752633590</v>
      </c>
      <c r="J12" s="168">
        <f>+I12/F12</f>
        <v>0.67115395607802841</v>
      </c>
      <c r="K12" s="10">
        <f t="shared" ref="K12:L12" si="1">+K14+K24</f>
        <v>607614280</v>
      </c>
      <c r="L12" s="10">
        <f t="shared" si="1"/>
        <v>129014310</v>
      </c>
      <c r="M12" s="180">
        <f>+K12+L12</f>
        <v>736628590</v>
      </c>
      <c r="N12" s="169">
        <f>+M12/F12</f>
        <v>0.65688164720190068</v>
      </c>
      <c r="O12" s="10">
        <f>+F12-M12</f>
        <v>384773710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426946280</v>
      </c>
      <c r="H14" s="178">
        <f>+H16+H20+H18</f>
        <v>139282810</v>
      </c>
      <c r="I14" s="10">
        <f>+G14+H14</f>
        <v>566229090</v>
      </c>
      <c r="J14" s="168">
        <f>+I14/F14</f>
        <v>0.61307587274099584</v>
      </c>
      <c r="K14" s="178">
        <f>+K16+K20+K18</f>
        <v>426946280</v>
      </c>
      <c r="L14" s="178">
        <f>+L16+L20+L18</f>
        <v>124012810</v>
      </c>
      <c r="M14" s="180">
        <f>+K14+L14</f>
        <v>550959090</v>
      </c>
      <c r="N14" s="169">
        <f>+M14/F14</f>
        <v>0.5965425141727263</v>
      </c>
      <c r="O14" s="10">
        <f>+F14-M14</f>
        <v>372628210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+juli!I16</f>
        <v>196835880</v>
      </c>
      <c r="H16" s="80">
        <f>2750000</f>
        <v>2750000</v>
      </c>
      <c r="I16" s="15">
        <f>+G16+H16</f>
        <v>199585880</v>
      </c>
      <c r="J16" s="143">
        <f>+I16/F16</f>
        <v>0.48636813020381875</v>
      </c>
      <c r="K16" s="80">
        <f>+juli!M16</f>
        <v>196835880</v>
      </c>
      <c r="L16" s="80">
        <v>2750000</v>
      </c>
      <c r="M16" s="80">
        <f>+K16+L16</f>
        <v>199585880</v>
      </c>
      <c r="N16" s="171">
        <f>+M16/F16</f>
        <v>0.48636813020381875</v>
      </c>
      <c r="O16" s="15">
        <f>+F16-M16</f>
        <v>210773820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+juli!I18</f>
        <v>223266000</v>
      </c>
      <c r="H18" s="79">
        <f>92652810+18420000</f>
        <v>111072810</v>
      </c>
      <c r="I18" s="15">
        <f>+G18+H18</f>
        <v>334338810</v>
      </c>
      <c r="J18" s="143">
        <f>+I18/F18</f>
        <v>0.78075025990851599</v>
      </c>
      <c r="K18" s="80">
        <f>+juli!M18</f>
        <v>223266000</v>
      </c>
      <c r="L18" s="80">
        <f>92652810+3150000</f>
        <v>95802810</v>
      </c>
      <c r="M18" s="80">
        <f>+K18+L18</f>
        <v>319068810</v>
      </c>
      <c r="N18" s="171">
        <f>+M18/F18</f>
        <v>0.74509165219616857</v>
      </c>
      <c r="O18" s="15">
        <f>+F18-M18</f>
        <v>109158790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+juli!I20</f>
        <v>6844400</v>
      </c>
      <c r="H20" s="79">
        <f>11000000+14460000</f>
        <v>25460000</v>
      </c>
      <c r="I20" s="15">
        <f>+G20+H20</f>
        <v>32304400</v>
      </c>
      <c r="J20" s="143">
        <f>+I20/F20</f>
        <v>0.38005176470588237</v>
      </c>
      <c r="K20" s="80">
        <f>+juli!M20</f>
        <v>6844400</v>
      </c>
      <c r="L20" s="80">
        <f>11000000+14460000</f>
        <v>25460000</v>
      </c>
      <c r="M20" s="80">
        <f>+K20+L20</f>
        <v>32304400</v>
      </c>
      <c r="N20" s="171">
        <f>+M20/F20</f>
        <v>0.38005176470588237</v>
      </c>
      <c r="O20" s="15">
        <f>+F20-M20</f>
        <v>52695600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426946280</v>
      </c>
      <c r="H22" s="224">
        <f>+H16+H20+H18</f>
        <v>139282810</v>
      </c>
      <c r="I22" s="141">
        <f>+G22+H22</f>
        <v>566229090</v>
      </c>
      <c r="J22" s="233">
        <f>+I22/F22</f>
        <v>0.61307587274099584</v>
      </c>
      <c r="K22" s="224">
        <f t="shared" ref="K22:L22" si="7">+K16+K20+K18</f>
        <v>426946280</v>
      </c>
      <c r="L22" s="224">
        <f t="shared" si="7"/>
        <v>124012810</v>
      </c>
      <c r="M22" s="232">
        <f>+K22+L22</f>
        <v>550959090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182631500</v>
      </c>
      <c r="H24" s="178">
        <f>+H26</f>
        <v>3773000</v>
      </c>
      <c r="I24" s="10">
        <f>+G24+H24</f>
        <v>186404500</v>
      </c>
      <c r="J24" s="168">
        <f>+I24/F24</f>
        <v>0.94231731668478125</v>
      </c>
      <c r="K24" s="178">
        <f>+K26</f>
        <v>180668000</v>
      </c>
      <c r="L24" s="178">
        <f t="shared" ref="L24:M24" si="9">+L26</f>
        <v>5001500</v>
      </c>
      <c r="M24" s="178">
        <f t="shared" si="9"/>
        <v>185669500</v>
      </c>
      <c r="N24" s="169">
        <f>+M24/F24</f>
        <v>0.9386017238328741</v>
      </c>
      <c r="O24" s="10">
        <f t="shared" ref="O24" si="10">+D24-M24</f>
        <v>12145500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+juli!I26</f>
        <v>182631500</v>
      </c>
      <c r="H26" s="79">
        <v>3773000</v>
      </c>
      <c r="I26" s="15">
        <f>+G26+H26</f>
        <v>186404500</v>
      </c>
      <c r="J26" s="143">
        <f>+I26/F26</f>
        <v>0.94231731668478125</v>
      </c>
      <c r="K26" s="80">
        <f>+juli!M26</f>
        <v>180668000</v>
      </c>
      <c r="L26" s="80">
        <v>5001500</v>
      </c>
      <c r="M26" s="80">
        <f>+K26+L26</f>
        <v>185669500</v>
      </c>
      <c r="N26" s="171">
        <f>+M26/F26</f>
        <v>0.9386017238328741</v>
      </c>
      <c r="O26" s="15">
        <f>+F26-M26</f>
        <v>12145500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182631500</v>
      </c>
      <c r="H28" s="224">
        <f t="shared" si="14"/>
        <v>3773000</v>
      </c>
      <c r="I28" s="232">
        <f>+G28+H28</f>
        <v>186404500</v>
      </c>
      <c r="J28" s="233">
        <f>+I28/F28</f>
        <v>0.94231731668478125</v>
      </c>
      <c r="K28" s="224">
        <f t="shared" ref="K28:L28" si="15">+K26</f>
        <v>180668000</v>
      </c>
      <c r="L28" s="224">
        <f t="shared" si="15"/>
        <v>5001500</v>
      </c>
      <c r="M28" s="232">
        <f>+K28+L28</f>
        <v>185669500</v>
      </c>
      <c r="N28" s="173">
        <f>+M28/F28</f>
        <v>0.9386017238328741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609577780</v>
      </c>
      <c r="H30" s="364">
        <f t="shared" si="16"/>
        <v>143055810</v>
      </c>
      <c r="I30" s="364">
        <f>+G30+H30</f>
        <v>752633590</v>
      </c>
      <c r="J30" s="368">
        <f>+I30/F30</f>
        <v>0.67115395607802841</v>
      </c>
      <c r="K30" s="364">
        <f t="shared" ref="K30:L30" si="17">K12</f>
        <v>607614280</v>
      </c>
      <c r="L30" s="364">
        <f t="shared" si="17"/>
        <v>129014310</v>
      </c>
      <c r="M30" s="364">
        <f>+K30+L30</f>
        <v>736628590</v>
      </c>
      <c r="N30" s="366">
        <f>+M30/F30</f>
        <v>0.65688164720190068</v>
      </c>
      <c r="O30" s="364">
        <f>+F30-M30</f>
        <v>384773710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151245500</v>
      </c>
      <c r="H35" s="11">
        <f t="shared" si="19"/>
        <v>21690000</v>
      </c>
      <c r="I35" s="10">
        <f>+G35+H35</f>
        <v>172935500</v>
      </c>
      <c r="J35" s="168">
        <f>+I35/F35</f>
        <v>0.26242109256449164</v>
      </c>
      <c r="K35" s="10">
        <f t="shared" ref="K35:L35" si="20">K45</f>
        <v>148250500</v>
      </c>
      <c r="L35" s="10">
        <f t="shared" si="20"/>
        <v>24014000</v>
      </c>
      <c r="M35" s="10">
        <f>+K35+L35</f>
        <v>172264500</v>
      </c>
      <c r="N35" s="169">
        <f>+M35/F35</f>
        <v>0.26140288315629739</v>
      </c>
      <c r="O35" s="10">
        <f>+F35-M35</f>
        <v>486735500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151245500</v>
      </c>
      <c r="H37" s="194">
        <f>+H39+H41+H43</f>
        <v>21690000</v>
      </c>
      <c r="I37" s="180">
        <f>+G37+H37</f>
        <v>172935500</v>
      </c>
      <c r="J37" s="168">
        <f>+I37/F37</f>
        <v>0.26242109256449164</v>
      </c>
      <c r="K37" s="194">
        <f>+K39+K41+K43</f>
        <v>148250500</v>
      </c>
      <c r="L37" s="194">
        <f>+L39+L41+L43</f>
        <v>24014000</v>
      </c>
      <c r="M37" s="180">
        <f>+K37+L37</f>
        <v>172264500</v>
      </c>
      <c r="N37" s="169">
        <f>+M37/F37</f>
        <v>0.26140288315629739</v>
      </c>
      <c r="O37" s="10">
        <f>+F37-M37</f>
        <v>486735500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+juli!I39</f>
        <v>94300000</v>
      </c>
      <c r="H39" s="79">
        <v>3725000</v>
      </c>
      <c r="I39" s="80">
        <f>+G39+H39</f>
        <v>98025000</v>
      </c>
      <c r="J39" s="143">
        <f>+I39/F39</f>
        <v>0.61265625000000001</v>
      </c>
      <c r="K39" s="80">
        <f>+juli!M39</f>
        <v>93373250</v>
      </c>
      <c r="L39" s="80">
        <v>4650000</v>
      </c>
      <c r="M39" s="80">
        <f>+K39+L39</f>
        <v>98023250</v>
      </c>
      <c r="N39" s="171">
        <f>+M39/F39</f>
        <v>0.61264531249999998</v>
      </c>
      <c r="O39" s="15">
        <f>+F39-M39</f>
        <v>61976750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+juli!I41</f>
        <v>37755000</v>
      </c>
      <c r="H41" s="30">
        <v>0</v>
      </c>
      <c r="I41" s="80">
        <f>+G41+H41</f>
        <v>37755000</v>
      </c>
      <c r="J41" s="143">
        <f>+I41/F41</f>
        <v>0.11835423197492163</v>
      </c>
      <c r="K41" s="80">
        <f>+juli!M41</f>
        <v>36630750</v>
      </c>
      <c r="L41" s="15">
        <v>455000</v>
      </c>
      <c r="M41" s="80">
        <f>+K41+L41</f>
        <v>37085750</v>
      </c>
      <c r="N41" s="171">
        <f>+M41/F41</f>
        <v>0.11625626959247649</v>
      </c>
      <c r="O41" s="15">
        <f>+F41-M41</f>
        <v>281914250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467" t="s">
        <v>240</v>
      </c>
      <c r="D43" s="13">
        <v>180000000</v>
      </c>
      <c r="E43" s="14"/>
      <c r="F43" s="13">
        <f>+D43+E43</f>
        <v>180000000</v>
      </c>
      <c r="G43" s="80">
        <f>+juli!I43</f>
        <v>19190500</v>
      </c>
      <c r="H43" s="79">
        <v>17965000</v>
      </c>
      <c r="I43" s="80">
        <f>+G43+H43</f>
        <v>37155500</v>
      </c>
      <c r="J43" s="143">
        <f>+I43/F43</f>
        <v>0.20641944444444443</v>
      </c>
      <c r="K43" s="80">
        <f>+juli!M43</f>
        <v>18246500</v>
      </c>
      <c r="L43" s="80">
        <v>18909000</v>
      </c>
      <c r="M43" s="80">
        <f>+K43+L43</f>
        <v>37155500</v>
      </c>
      <c r="N43" s="171">
        <f>+M43/F43</f>
        <v>0.20641944444444443</v>
      </c>
      <c r="O43" s="15">
        <f>+F43-M43</f>
        <v>142844500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467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151245500</v>
      </c>
      <c r="H45" s="10">
        <f>SUM(H39:H43)</f>
        <v>21690000</v>
      </c>
      <c r="I45" s="10">
        <f>+G45+H45</f>
        <v>172935500</v>
      </c>
      <c r="J45" s="168">
        <f>+I45/F45</f>
        <v>0.26242109256449164</v>
      </c>
      <c r="K45" s="10">
        <f>SUM(K39:K43)</f>
        <v>148250500</v>
      </c>
      <c r="L45" s="10">
        <f>SUM(L39:L43)</f>
        <v>24014000</v>
      </c>
      <c r="M45" s="10">
        <f>+K45+L45</f>
        <v>172264500</v>
      </c>
      <c r="N45" s="169">
        <f>+M45/F45</f>
        <v>0.26140288315629739</v>
      </c>
      <c r="O45" s="10">
        <f>+D45-M45</f>
        <v>486735500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151245500</v>
      </c>
      <c r="H47" s="387">
        <f t="shared" si="23"/>
        <v>21690000</v>
      </c>
      <c r="I47" s="387">
        <f>+G47+H47</f>
        <v>172935500</v>
      </c>
      <c r="J47" s="397">
        <f>+I47/F47</f>
        <v>0.26242109256449164</v>
      </c>
      <c r="K47" s="387">
        <f t="shared" ref="K47:M47" si="24">K45</f>
        <v>148250500</v>
      </c>
      <c r="L47" s="387">
        <f t="shared" si="24"/>
        <v>24014000</v>
      </c>
      <c r="M47" s="387">
        <f t="shared" si="24"/>
        <v>172264500</v>
      </c>
      <c r="N47" s="394">
        <f>+M47/F47</f>
        <v>0.26140288315629739</v>
      </c>
      <c r="O47" s="387">
        <f>+F47-M47</f>
        <v>486735500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14216163300</v>
      </c>
      <c r="H52" s="10">
        <f t="shared" si="26"/>
        <v>1654302450</v>
      </c>
      <c r="I52" s="312">
        <f>+G52+H52</f>
        <v>15870465750</v>
      </c>
      <c r="J52" s="168">
        <f>+I52/F52</f>
        <v>0.88305417195296609</v>
      </c>
      <c r="K52" s="312">
        <f t="shared" ref="K52:L52" si="27">+K62</f>
        <v>14210970500</v>
      </c>
      <c r="L52" s="10">
        <f t="shared" si="27"/>
        <v>1658002450</v>
      </c>
      <c r="M52" s="312">
        <f>+K52+L52</f>
        <v>15868972950</v>
      </c>
      <c r="N52" s="169">
        <f>+M52/F52</f>
        <v>0.88297111054262956</v>
      </c>
      <c r="O52" s="10">
        <f>+F52-M52</f>
        <v>2103271850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315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14216163300</v>
      </c>
      <c r="H54" s="178">
        <f t="shared" si="28"/>
        <v>1654302450</v>
      </c>
      <c r="I54" s="312">
        <f>+G54+H54</f>
        <v>15870465750</v>
      </c>
      <c r="J54" s="168">
        <f>+I54/F54</f>
        <v>0.88305417195296609</v>
      </c>
      <c r="K54" s="314">
        <f>SUM(K56:K60)</f>
        <v>14210970500</v>
      </c>
      <c r="L54" s="314">
        <f>SUM(L56:L60)</f>
        <v>1658002450</v>
      </c>
      <c r="M54" s="351">
        <f>+K54+L54</f>
        <v>15868972950</v>
      </c>
      <c r="N54" s="169">
        <f>+M54/F54</f>
        <v>0.88297111054262956</v>
      </c>
      <c r="O54" s="10">
        <f>+F54-M54</f>
        <v>2103271850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+juli!I56</f>
        <v>11799042300</v>
      </c>
      <c r="H56" s="79">
        <f>24000000+21588000+970000000+348495000</f>
        <v>1364083000</v>
      </c>
      <c r="I56" s="352">
        <f>+G56+H56</f>
        <v>13163125300</v>
      </c>
      <c r="J56" s="143">
        <f>+I56/F56</f>
        <v>0.93121562027704652</v>
      </c>
      <c r="K56" s="315">
        <f>+juli!M56</f>
        <v>11798794500</v>
      </c>
      <c r="L56" s="79">
        <f>970000000+24000000+348495000+21488000</f>
        <v>1363983000</v>
      </c>
      <c r="M56" s="315">
        <f>+K56+L56</f>
        <v>13162777500</v>
      </c>
      <c r="N56" s="171">
        <f>+M56/F56</f>
        <v>0.93119101542178984</v>
      </c>
      <c r="O56" s="15">
        <f>+F56-M56</f>
        <v>972644000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+juli!I58</f>
        <v>1909900000</v>
      </c>
      <c r="H58" s="79">
        <f>41000000+50000000+35000000+82000000+40000000</f>
        <v>248000000</v>
      </c>
      <c r="I58" s="15">
        <f>+G58+H58</f>
        <v>2157900000</v>
      </c>
      <c r="J58" s="143">
        <f>+I58/F58</f>
        <v>0.7617972937150258</v>
      </c>
      <c r="K58" s="315">
        <f>+juli!M58</f>
        <v>1909900000</v>
      </c>
      <c r="L58" s="80">
        <f>41000000+50000000+35000000+82000000+40000000</f>
        <v>248000000</v>
      </c>
      <c r="M58" s="80">
        <f>+K58+L58</f>
        <v>2157900000</v>
      </c>
      <c r="N58" s="171">
        <f>+M58/F58</f>
        <v>0.7617972937150258</v>
      </c>
      <c r="O58" s="15">
        <f>+F58-M58</f>
        <v>674743300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+juli!I60</f>
        <v>507221000</v>
      </c>
      <c r="H60" s="79">
        <v>42219450</v>
      </c>
      <c r="I60" s="15">
        <f>+G60+H60</f>
        <v>549440450</v>
      </c>
      <c r="J60" s="143">
        <f>+I60/F60</f>
        <v>0.54715334900117507</v>
      </c>
      <c r="K60" s="80">
        <f>+juli!M60</f>
        <v>502276000</v>
      </c>
      <c r="L60" s="80">
        <v>46019450</v>
      </c>
      <c r="M60" s="80">
        <f>+K60+L60</f>
        <v>548295450</v>
      </c>
      <c r="N60" s="171">
        <f>+M60/F60</f>
        <v>0.54601311517855367</v>
      </c>
      <c r="O60" s="15">
        <f>+F60-M60</f>
        <v>455884550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14216163300</v>
      </c>
      <c r="H62" s="364">
        <f>SUM(H56:H60)</f>
        <v>1654302450</v>
      </c>
      <c r="I62" s="455">
        <f>H62+G62</f>
        <v>15870465750</v>
      </c>
      <c r="J62" s="368">
        <f>+I62/F62</f>
        <v>0.88305417195296609</v>
      </c>
      <c r="K62" s="455">
        <f>SUM(K56:K60)</f>
        <v>14210970500</v>
      </c>
      <c r="L62" s="364">
        <f>SUM(L56:L60)</f>
        <v>1658002450</v>
      </c>
      <c r="M62" s="455">
        <f>K62+L62</f>
        <v>15868972950</v>
      </c>
      <c r="N62" s="366">
        <f>+M62/F62</f>
        <v>0.88297111054262956</v>
      </c>
      <c r="O62" s="364">
        <f>+F62-M62</f>
        <v>2103271850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464"/>
      <c r="J63" s="369"/>
      <c r="K63" s="464"/>
      <c r="L63" s="365"/>
      <c r="M63" s="464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27.75" customHeight="1" x14ac:dyDescent="0.2">
      <c r="A67" s="74"/>
      <c r="B67" s="217" t="s">
        <v>158</v>
      </c>
      <c r="C67" s="229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350">
        <f t="shared" ref="G67" si="33">+G77</f>
        <v>3907391750</v>
      </c>
      <c r="H67" s="239">
        <f>+H77</f>
        <v>34487000</v>
      </c>
      <c r="I67" s="10">
        <f>+G67+H67</f>
        <v>3941878750</v>
      </c>
      <c r="J67" s="168">
        <f>+I67/F67</f>
        <v>0.65306845583989892</v>
      </c>
      <c r="K67" s="351">
        <f>+K77</f>
        <v>3907343406</v>
      </c>
      <c r="L67" s="180">
        <f>+L77</f>
        <v>25474500</v>
      </c>
      <c r="M67" s="180">
        <f>+K67+L67</f>
        <v>3932817906</v>
      </c>
      <c r="N67" s="169">
        <f>+M67/F67</f>
        <v>0.65156730581094724</v>
      </c>
      <c r="O67" s="10">
        <f>+F67-M67</f>
        <v>2103117094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351">
        <f>SUM(G71:G75)</f>
        <v>3907391750</v>
      </c>
      <c r="H69" s="180">
        <f>SUM(H71:H75)</f>
        <v>34487000</v>
      </c>
      <c r="I69" s="180">
        <f>+G69+H69</f>
        <v>3941878750</v>
      </c>
      <c r="J69" s="168">
        <f>+I69/F69</f>
        <v>0.65306845583989892</v>
      </c>
      <c r="K69" s="351">
        <f>SUM(K71:K75)</f>
        <v>3907343406</v>
      </c>
      <c r="L69" s="180">
        <f>SUM(L71:L75)</f>
        <v>25474500</v>
      </c>
      <c r="M69" s="180">
        <f>+K69+L69</f>
        <v>3932817906</v>
      </c>
      <c r="N69" s="169">
        <f>+M69/F69</f>
        <v>0.65156730581094724</v>
      </c>
      <c r="O69" s="10">
        <f>+F69-M69</f>
        <v>2103117094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+juli!I71</f>
        <v>32817006</v>
      </c>
      <c r="H71" s="79">
        <v>8500000</v>
      </c>
      <c r="I71" s="80">
        <f>+G71+H71</f>
        <v>41317006</v>
      </c>
      <c r="J71" s="143">
        <f>+I71/F71</f>
        <v>0.11056196414236018</v>
      </c>
      <c r="K71" s="80">
        <f>+juli!M71</f>
        <v>32817006</v>
      </c>
      <c r="L71" s="80">
        <v>1247700</v>
      </c>
      <c r="M71" s="80">
        <f>+K71+L71</f>
        <v>34064706</v>
      </c>
      <c r="N71" s="171">
        <f>+M71/F71</f>
        <v>9.1155220765319775E-2</v>
      </c>
      <c r="O71" s="15">
        <f>+F71-M71</f>
        <v>339635294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+juli!I73</f>
        <v>88711350</v>
      </c>
      <c r="H73" s="79">
        <f>9960000+2241000+3000000</f>
        <v>15201000</v>
      </c>
      <c r="I73" s="80">
        <f>+G73+H73</f>
        <v>103912350</v>
      </c>
      <c r="J73" s="143">
        <f>+I73/F73</f>
        <v>0.60639651868226263</v>
      </c>
      <c r="K73" s="80">
        <f>+juli!M73</f>
        <v>88711150</v>
      </c>
      <c r="L73" s="80">
        <f>9960000+2241000+2097800</f>
        <v>14298800</v>
      </c>
      <c r="M73" s="80">
        <f>+K73+L73</f>
        <v>103009950</v>
      </c>
      <c r="N73" s="171">
        <f>+M73/F73</f>
        <v>0.60113042453215559</v>
      </c>
      <c r="O73" s="15">
        <f>+F73-M73</f>
        <v>68350450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315">
        <f>+juli!I75</f>
        <v>3785863394</v>
      </c>
      <c r="H75" s="79">
        <f>6986000+3800000</f>
        <v>10786000</v>
      </c>
      <c r="I75" s="80">
        <f>+G75+H75</f>
        <v>3796649394</v>
      </c>
      <c r="J75" s="143">
        <f>+I75/F75</f>
        <v>0.69144711372574419</v>
      </c>
      <c r="K75" s="315">
        <f>+juli!M75</f>
        <v>3785815250</v>
      </c>
      <c r="L75" s="80">
        <f>6986000+2942000</f>
        <v>9928000</v>
      </c>
      <c r="M75" s="80">
        <f>+K75+L75</f>
        <v>3795743250</v>
      </c>
      <c r="N75" s="171">
        <f>+M75/F75</f>
        <v>0.69128208646396694</v>
      </c>
      <c r="O75" s="15">
        <f>+F75-M75</f>
        <v>1695131350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463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455">
        <f>SUM(G71:G75)</f>
        <v>3907391750</v>
      </c>
      <c r="H77" s="364">
        <f>SUM(H71:H75)</f>
        <v>34487000</v>
      </c>
      <c r="I77" s="364">
        <f>+G77+H77</f>
        <v>3941878750</v>
      </c>
      <c r="J77" s="368">
        <f>+I77/F77</f>
        <v>0.65306845583989892</v>
      </c>
      <c r="K77" s="455">
        <f>SUM(K71:K75)</f>
        <v>3907343406</v>
      </c>
      <c r="L77" s="364">
        <f>SUM(L71:L75)</f>
        <v>25474500</v>
      </c>
      <c r="M77" s="364">
        <f>+K77+L77</f>
        <v>3932817906</v>
      </c>
      <c r="N77" s="366">
        <f>+M77/F77</f>
        <v>0.65156730581094724</v>
      </c>
      <c r="O77" s="364">
        <f>+F77-M77</f>
        <v>2103117094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456"/>
      <c r="D78" s="396"/>
      <c r="E78" s="396"/>
      <c r="F78" s="396"/>
      <c r="G78" s="456"/>
      <c r="H78" s="396"/>
      <c r="I78" s="396"/>
      <c r="J78" s="369"/>
      <c r="K78" s="45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356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312">
        <f t="shared" ref="G82:H82" si="40">+G83+G93</f>
        <v>1435904300</v>
      </c>
      <c r="H82" s="10">
        <f t="shared" si="40"/>
        <v>115046200</v>
      </c>
      <c r="I82" s="10">
        <f>+G82+H82</f>
        <v>1550950500</v>
      </c>
      <c r="J82" s="168">
        <f>+I82/F82</f>
        <v>0.70236417848290966</v>
      </c>
      <c r="K82" s="312">
        <f t="shared" ref="K82:L82" si="41">+K83+K93</f>
        <v>1430294299</v>
      </c>
      <c r="L82" s="10">
        <f t="shared" si="41"/>
        <v>118640050</v>
      </c>
      <c r="M82" s="10">
        <f>+K82+L82</f>
        <v>1548934349</v>
      </c>
      <c r="N82" s="169">
        <f>+M82/F82</f>
        <v>0.70145114338552106</v>
      </c>
      <c r="O82" s="10">
        <f>+F82-M82</f>
        <v>659251301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312">
        <f>+G91</f>
        <v>1357109400</v>
      </c>
      <c r="H83" s="10">
        <f>+H91</f>
        <v>40000000</v>
      </c>
      <c r="I83" s="180">
        <f>+G83+H83</f>
        <v>1397109400</v>
      </c>
      <c r="J83" s="168">
        <f>+I83/F83</f>
        <v>0.74358549392670747</v>
      </c>
      <c r="K83" s="312">
        <f>+K91</f>
        <v>1352665249</v>
      </c>
      <c r="L83" s="10">
        <f>+L91</f>
        <v>43248000</v>
      </c>
      <c r="M83" s="180">
        <f>+K83+L83</f>
        <v>1395913249</v>
      </c>
      <c r="N83" s="169">
        <f>+M83/F83</f>
        <v>0.74294886480364386</v>
      </c>
      <c r="O83" s="10">
        <f>+O91+O96</f>
        <v>2538133301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80">
        <f>+juli!I85</f>
        <v>45000000</v>
      </c>
      <c r="H85" s="285">
        <f>1500000</f>
        <v>1500000</v>
      </c>
      <c r="I85" s="284">
        <f>G85+H85</f>
        <v>46500000</v>
      </c>
      <c r="J85" s="287">
        <f>+I85/F85</f>
        <v>0.16921896169428574</v>
      </c>
      <c r="K85" s="80">
        <f>+juli!M85</f>
        <v>44300000</v>
      </c>
      <c r="L85" s="284">
        <f>2050000</f>
        <v>2050000</v>
      </c>
      <c r="M85" s="284">
        <f>K85+L85</f>
        <v>46350000</v>
      </c>
      <c r="N85" s="288">
        <f>+M85/F85</f>
        <v>0.16867309407591707</v>
      </c>
      <c r="O85" s="286">
        <f>+F85-M85</f>
        <v>228441900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+juli!I87</f>
        <v>641821400</v>
      </c>
      <c r="H87" s="79">
        <v>0</v>
      </c>
      <c r="I87" s="284">
        <f>G87+H87</f>
        <v>641821400</v>
      </c>
      <c r="J87" s="143"/>
      <c r="K87" s="80">
        <f>+juli!M87</f>
        <v>641641300</v>
      </c>
      <c r="L87" s="80">
        <v>0</v>
      </c>
      <c r="M87" s="80">
        <f>+K87+L87</f>
        <v>641641300</v>
      </c>
      <c r="N87" s="171">
        <f>+M87/F87</f>
        <v>0.98674363878895477</v>
      </c>
      <c r="O87" s="286">
        <f>+F87-M87</f>
        <v>8620100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3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+juli!I89</f>
        <v>670288000</v>
      </c>
      <c r="H89" s="79">
        <v>38500000</v>
      </c>
      <c r="I89" s="15">
        <f>+G89+H89</f>
        <v>708788000</v>
      </c>
      <c r="J89" s="143">
        <f>+I89/F89</f>
        <v>0.74309779103941831</v>
      </c>
      <c r="K89" s="80">
        <f>+juli!M89</f>
        <v>666723949</v>
      </c>
      <c r="L89" s="80">
        <v>41198000</v>
      </c>
      <c r="M89" s="80">
        <f>+K89+L89</f>
        <v>707921949</v>
      </c>
      <c r="N89" s="171">
        <f>+M89/F89</f>
        <v>0.7421898177314229</v>
      </c>
      <c r="O89" s="15">
        <f>+F89-M89</f>
        <v>245906751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313">
        <f t="shared" ref="G91:H91" si="43">SUM(G85:G90)</f>
        <v>1357109400</v>
      </c>
      <c r="H91" s="141">
        <f t="shared" si="43"/>
        <v>40000000</v>
      </c>
      <c r="I91" s="232">
        <f>+G91+H91</f>
        <v>1397109400</v>
      </c>
      <c r="J91" s="176">
        <f>+I91/F91</f>
        <v>0.74358549392670747</v>
      </c>
      <c r="K91" s="313">
        <f t="shared" ref="K91" si="44">SUM(K85:K90)</f>
        <v>1352665249</v>
      </c>
      <c r="L91" s="141">
        <f>SUM(L85:L90)</f>
        <v>43248000</v>
      </c>
      <c r="M91" s="232">
        <f>+K91+L91</f>
        <v>1395913249</v>
      </c>
      <c r="N91" s="173">
        <f>+M91/F91</f>
        <v>0.74294886480364386</v>
      </c>
      <c r="O91" s="141">
        <f>SUM(O85:O90)</f>
        <v>482968751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78794900</v>
      </c>
      <c r="H93" s="10">
        <f t="shared" si="45"/>
        <v>75046200</v>
      </c>
      <c r="I93" s="180">
        <f>+G93+H93</f>
        <v>153841100</v>
      </c>
      <c r="J93" s="168">
        <f>+I93/F93</f>
        <v>0.46717095300947925</v>
      </c>
      <c r="K93" s="10">
        <f t="shared" ref="K93:L93" si="46">+K95</f>
        <v>77629050</v>
      </c>
      <c r="L93" s="10">
        <f t="shared" si="46"/>
        <v>75392050</v>
      </c>
      <c r="M93" s="180">
        <f>+K93+L93</f>
        <v>153021100</v>
      </c>
      <c r="N93" s="169">
        <f>+M93/F93</f>
        <v>0.46468085003005583</v>
      </c>
      <c r="O93" s="10">
        <f>+F93-M93</f>
        <v>176282550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378</v>
      </c>
      <c r="D95" s="13">
        <v>365942800</v>
      </c>
      <c r="E95" s="14">
        <v>-36639150</v>
      </c>
      <c r="F95" s="13">
        <f>+D95+E95</f>
        <v>329303650</v>
      </c>
      <c r="G95" s="80">
        <f>+juli!I95</f>
        <v>78794900</v>
      </c>
      <c r="H95" s="79">
        <f>15190000+4004000+37520000+18332200</f>
        <v>75046200</v>
      </c>
      <c r="I95" s="15">
        <f>+G95+H95</f>
        <v>153841100</v>
      </c>
      <c r="J95" s="143">
        <f>+I95/F95</f>
        <v>0.46717095300947925</v>
      </c>
      <c r="K95" s="80">
        <f>+juli!M95</f>
        <v>77629050</v>
      </c>
      <c r="L95" s="80">
        <f>15190000+4004000+37520000+18678050</f>
        <v>75392050</v>
      </c>
      <c r="M95" s="80">
        <f>+K95+L95</f>
        <v>153021100</v>
      </c>
      <c r="N95" s="171">
        <f>+M95/F95</f>
        <v>0.46468085003005583</v>
      </c>
      <c r="O95" s="15">
        <f>+F95-M95</f>
        <v>176282550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78794900</v>
      </c>
      <c r="H96" s="10">
        <f t="shared" si="48"/>
        <v>75046200</v>
      </c>
      <c r="I96" s="180">
        <f>+G96+H96</f>
        <v>153841100</v>
      </c>
      <c r="J96" s="168">
        <f>+I96/F96</f>
        <v>6.9668553456997601E-2</v>
      </c>
      <c r="K96" s="10">
        <f t="shared" ref="K96:L96" si="49">+K95</f>
        <v>77629050</v>
      </c>
      <c r="L96" s="10">
        <f t="shared" si="49"/>
        <v>75392050</v>
      </c>
      <c r="M96" s="180">
        <f>+K96+L96</f>
        <v>153021100</v>
      </c>
      <c r="N96" s="169">
        <f>+M96/F96</f>
        <v>6.9297207868369223E-2</v>
      </c>
      <c r="O96" s="10">
        <f>+F96-M96</f>
        <v>2055164550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362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455">
        <f t="shared" si="50"/>
        <v>1435904300</v>
      </c>
      <c r="H98" s="364">
        <f t="shared" si="50"/>
        <v>115046200</v>
      </c>
      <c r="I98" s="364">
        <f t="shared" si="50"/>
        <v>1550950500</v>
      </c>
      <c r="J98" s="398">
        <f>+I98/F98</f>
        <v>0.70236417848290966</v>
      </c>
      <c r="K98" s="455">
        <f t="shared" ref="K98:L98" si="51">+K83+K93</f>
        <v>1430294299</v>
      </c>
      <c r="L98" s="364">
        <f t="shared" si="51"/>
        <v>118640050</v>
      </c>
      <c r="M98" s="364">
        <f>+K98+L98</f>
        <v>1548934349</v>
      </c>
      <c r="N98" s="366">
        <f>+M98/F98</f>
        <v>0.70145114338552106</v>
      </c>
      <c r="O98" s="364">
        <f>+F98-M98</f>
        <v>659251301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456"/>
      <c r="H99" s="396"/>
      <c r="I99" s="396"/>
      <c r="J99" s="399"/>
      <c r="K99" s="45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356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318738835</v>
      </c>
      <c r="H103" s="10">
        <f t="shared" si="54"/>
        <v>41202160</v>
      </c>
      <c r="I103" s="10">
        <f>+G103+H103</f>
        <v>359940995</v>
      </c>
      <c r="J103" s="168">
        <f>+I103/F103</f>
        <v>0.14858182233528583</v>
      </c>
      <c r="K103" s="10">
        <f t="shared" ref="K103:L103" si="55">+K113</f>
        <v>296990155</v>
      </c>
      <c r="L103" s="10">
        <f t="shared" si="55"/>
        <v>41202160</v>
      </c>
      <c r="M103" s="10">
        <f>+K103+L103</f>
        <v>338192315</v>
      </c>
      <c r="N103" s="169">
        <f>+M103/D103</f>
        <v>0.13960407722518248</v>
      </c>
      <c r="O103" s="10">
        <f>+F103-M103</f>
        <v>2084317985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+juni!I105</f>
        <v>208767903</v>
      </c>
      <c r="H105" s="79">
        <v>0</v>
      </c>
      <c r="I105" s="15">
        <f>+G105+H105</f>
        <v>208767903</v>
      </c>
      <c r="J105" s="143">
        <f>+I105/F105</f>
        <v>8.6178334515234059E-2</v>
      </c>
      <c r="K105" s="80">
        <f>+juni!M105</f>
        <v>207584673</v>
      </c>
      <c r="L105" s="80">
        <v>0</v>
      </c>
      <c r="M105" s="80">
        <f>+K105+L105</f>
        <v>207584673</v>
      </c>
      <c r="N105" s="171">
        <f>+M105/F105</f>
        <v>8.5689903155416927E-2</v>
      </c>
      <c r="O105" s="15">
        <f>+F105-M105</f>
        <v>2214925627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/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+juli!I107</f>
        <v>221805105</v>
      </c>
      <c r="H107" s="79">
        <v>41202160</v>
      </c>
      <c r="I107" s="15">
        <f>+G107+H107</f>
        <v>263007265</v>
      </c>
      <c r="J107" s="143">
        <f>+I107/F107</f>
        <v>0.11618267024752675</v>
      </c>
      <c r="K107" s="80">
        <f>+juli!M107</f>
        <v>221805105</v>
      </c>
      <c r="L107" s="80">
        <v>41202160</v>
      </c>
      <c r="M107" s="80">
        <f>+K107+L107</f>
        <v>263007265</v>
      </c>
      <c r="N107" s="171">
        <f>+M107/F107</f>
        <v>0.11618267024752675</v>
      </c>
      <c r="O107" s="15">
        <f>+F107-M107</f>
        <v>2000731935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+juli!I109</f>
        <v>56244400</v>
      </c>
      <c r="H109" s="79">
        <v>0</v>
      </c>
      <c r="I109" s="15">
        <f>+G109+H109</f>
        <v>56244400</v>
      </c>
      <c r="J109" s="143">
        <f>+I109/F109</f>
        <v>0.68954762398074709</v>
      </c>
      <c r="K109" s="80">
        <f>+juli!M109</f>
        <v>37112800</v>
      </c>
      <c r="L109" s="80">
        <v>0</v>
      </c>
      <c r="M109" s="80">
        <f>+K109+L109</f>
        <v>37112800</v>
      </c>
      <c r="N109" s="171">
        <f>+M109/F109</f>
        <v>0.45499717410573626</v>
      </c>
      <c r="O109" s="15">
        <f>+F109-M109</f>
        <v>44454300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25.5" customHeight="1" x14ac:dyDescent="0.2">
      <c r="A111" s="74">
        <v>3</v>
      </c>
      <c r="B111" s="75" t="s">
        <v>257</v>
      </c>
      <c r="C111" s="219" t="s">
        <v>259</v>
      </c>
      <c r="D111" s="13">
        <v>77204000</v>
      </c>
      <c r="E111" s="14"/>
      <c r="F111" s="13">
        <f>+D111+E111</f>
        <v>77204000</v>
      </c>
      <c r="G111" s="80">
        <f>+juli!I111</f>
        <v>40689330</v>
      </c>
      <c r="H111" s="79">
        <v>0</v>
      </c>
      <c r="I111" s="15">
        <f>+G111+H111</f>
        <v>40689330</v>
      </c>
      <c r="J111" s="143">
        <f>+I111/F111</f>
        <v>0.52703655251023263</v>
      </c>
      <c r="K111" s="80">
        <f>+juli!M111</f>
        <v>38072250</v>
      </c>
      <c r="L111" s="80">
        <v>0</v>
      </c>
      <c r="M111" s="80">
        <f>+K111+L111</f>
        <v>38072250</v>
      </c>
      <c r="N111" s="171">
        <f>+M111/F111</f>
        <v>0.49313830889591215</v>
      </c>
      <c r="O111" s="15">
        <f>+F111-M111</f>
        <v>39131750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318738835</v>
      </c>
      <c r="H113" s="364">
        <f>SUM(H107:H111)</f>
        <v>41202160</v>
      </c>
      <c r="I113" s="364">
        <f>+G113+H113</f>
        <v>359940995</v>
      </c>
      <c r="J113" s="398">
        <f>+I113/F113</f>
        <v>0.14858182233528583</v>
      </c>
      <c r="K113" s="364">
        <f>SUM(K107:K111)</f>
        <v>296990155</v>
      </c>
      <c r="L113" s="364">
        <f>SUM(L107:L111)</f>
        <v>41202160</v>
      </c>
      <c r="M113" s="364">
        <f>+K113+L113</f>
        <v>338192315</v>
      </c>
      <c r="N113" s="366">
        <f>+M113/F113</f>
        <v>0.13960407722518248</v>
      </c>
      <c r="O113" s="364">
        <f>+F113-M113</f>
        <v>2084317985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336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552250800</v>
      </c>
      <c r="H118" s="10">
        <f t="shared" si="63"/>
        <v>57459500</v>
      </c>
      <c r="I118" s="10">
        <f>+G118+H118</f>
        <v>609710300</v>
      </c>
      <c r="J118" s="168">
        <f>+I118/F118</f>
        <v>0.54556646819191845</v>
      </c>
      <c r="K118" s="10">
        <f t="shared" ref="K118:L118" si="64">+K126</f>
        <v>552041800</v>
      </c>
      <c r="L118" s="10">
        <f t="shared" si="64"/>
        <v>57375000</v>
      </c>
      <c r="M118" s="10">
        <f>+K118+L118</f>
        <v>609416800</v>
      </c>
      <c r="N118" s="169">
        <f>+M118/D118</f>
        <v>0.545303845503054</v>
      </c>
      <c r="O118" s="10">
        <f>+F118-M118</f>
        <v>508156100</v>
      </c>
      <c r="P118" s="77"/>
      <c r="Q118" s="6" t="str">
        <f t="shared" ref="Q118:Q144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+juli!I120</f>
        <v>390644800</v>
      </c>
      <c r="H120" s="79">
        <v>35700000</v>
      </c>
      <c r="I120" s="80">
        <f t="shared" ref="I120" si="66">H120+G120</f>
        <v>426344800</v>
      </c>
      <c r="J120" s="143">
        <f>+I120/F120</f>
        <v>0.60397901439509138</v>
      </c>
      <c r="K120" s="80">
        <f>+juli!M120</f>
        <v>390644800</v>
      </c>
      <c r="L120" s="79">
        <v>35700000</v>
      </c>
      <c r="M120" s="80">
        <f t="shared" ref="M120" si="67">K120+L120</f>
        <v>426344800</v>
      </c>
      <c r="N120" s="171">
        <f>+M120/D120</f>
        <v>0.60397901439509138</v>
      </c>
      <c r="O120" s="15">
        <f>+F120-M120</f>
        <v>279548600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+juli!I122</f>
        <v>62326000</v>
      </c>
      <c r="H122" s="79">
        <v>0</v>
      </c>
      <c r="I122" s="15">
        <f>+G122+H122</f>
        <v>62326000</v>
      </c>
      <c r="J122" s="143">
        <f>+I122/F122</f>
        <v>0.40580257443663853</v>
      </c>
      <c r="K122" s="80">
        <f>+juli!M122</f>
        <v>62326000</v>
      </c>
      <c r="L122" s="80">
        <v>0</v>
      </c>
      <c r="M122" s="80">
        <f>+K122+L122</f>
        <v>62326000</v>
      </c>
      <c r="N122" s="171">
        <f>+M122/D122</f>
        <v>0.40580257443663853</v>
      </c>
      <c r="O122" s="15">
        <f>+F122-M122</f>
        <v>91261000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+juli!I124</f>
        <v>99280000</v>
      </c>
      <c r="H124" s="79">
        <f>2775000+18984500</f>
        <v>21759500</v>
      </c>
      <c r="I124" s="15">
        <f>+G124+H124</f>
        <v>121039500</v>
      </c>
      <c r="J124" s="143">
        <f>+I124/F124</f>
        <v>0.4689772077840309</v>
      </c>
      <c r="K124" s="80">
        <f>+juli!M124</f>
        <v>99071000</v>
      </c>
      <c r="L124" s="80">
        <f>2775000+18900000</f>
        <v>21675000</v>
      </c>
      <c r="M124" s="80">
        <f>+K124+L124</f>
        <v>120746000</v>
      </c>
      <c r="N124" s="171">
        <f>+M124/D124</f>
        <v>0.4678400185979833</v>
      </c>
      <c r="O124" s="15">
        <f>+F124-M124</f>
        <v>137346500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552250800</v>
      </c>
      <c r="H126" s="364">
        <f>SUM(H120:H124)</f>
        <v>57459500</v>
      </c>
      <c r="I126" s="364">
        <f>+G126+H126</f>
        <v>609710300</v>
      </c>
      <c r="J126" s="368">
        <f>+I126/F126</f>
        <v>0.54556646819191845</v>
      </c>
      <c r="K126" s="364">
        <f>SUM(K120:K124)</f>
        <v>552041800</v>
      </c>
      <c r="L126" s="364">
        <f>SUM(L120:L124)</f>
        <v>57375000</v>
      </c>
      <c r="M126" s="364">
        <f>+K126+L126</f>
        <v>609416800</v>
      </c>
      <c r="N126" s="366">
        <v>0</v>
      </c>
      <c r="O126" s="364">
        <f>+F126-M126</f>
        <v>508156100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+D133+D140+D149+D155</f>
        <v>25693231593</v>
      </c>
      <c r="E131" s="10">
        <f>+E133+E140+E149+E155</f>
        <v>0</v>
      </c>
      <c r="F131" s="10">
        <f>+F133+F140+F149+F155</f>
        <v>25693231593</v>
      </c>
      <c r="G131" s="312">
        <f>+G133+G140+G149+G155</f>
        <v>14024178934</v>
      </c>
      <c r="H131" s="10">
        <f>+H133+H140+H149+H155</f>
        <v>1790839527</v>
      </c>
      <c r="I131" s="312">
        <f>+G131+H131</f>
        <v>15815018461</v>
      </c>
      <c r="J131" s="168">
        <f>+I131/F131</f>
        <v>0.61553247608248418</v>
      </c>
      <c r="K131" s="312">
        <f>+K133+K140+K149+K155</f>
        <v>14024167234</v>
      </c>
      <c r="L131" s="10">
        <f>+L133+L140+L149+L155</f>
        <v>1790768427</v>
      </c>
      <c r="M131" s="312">
        <f>+K131+L131</f>
        <v>15814935661</v>
      </c>
      <c r="N131" s="169">
        <f>+M131/F131</f>
        <v>0.61552925344387999</v>
      </c>
      <c r="O131" s="10">
        <f>+F131-M131</f>
        <v>9878295932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7379000</v>
      </c>
      <c r="H133" s="178">
        <f t="shared" si="72"/>
        <v>1951800</v>
      </c>
      <c r="I133" s="10">
        <f>+G133+H133</f>
        <v>9330800</v>
      </c>
      <c r="J133" s="168">
        <f>+I133/F133</f>
        <v>0.35853906895425464</v>
      </c>
      <c r="K133" s="178">
        <f t="shared" ref="K133:L133" si="73">+K135+K137</f>
        <v>7379000</v>
      </c>
      <c r="L133" s="178">
        <f t="shared" si="73"/>
        <v>1880700</v>
      </c>
      <c r="M133" s="180">
        <f>+K133+L133</f>
        <v>9259700</v>
      </c>
      <c r="N133" s="169">
        <f>+M133/F133</f>
        <v>0.35580702799285291</v>
      </c>
      <c r="O133" s="10">
        <f>+F133-M133</f>
        <v>16764800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26.25" customHeight="1" x14ac:dyDescent="0.2">
      <c r="A135" s="74">
        <v>1</v>
      </c>
      <c r="B135" s="75" t="s">
        <v>282</v>
      </c>
      <c r="C135" s="304" t="s">
        <v>301</v>
      </c>
      <c r="D135" s="13">
        <v>11962500</v>
      </c>
      <c r="E135" s="14"/>
      <c r="F135" s="13">
        <f>E135+D135</f>
        <v>11962500</v>
      </c>
      <c r="G135" s="80">
        <f>+juli!I135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+juli!M135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2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+juli!I137</f>
        <v>4439000</v>
      </c>
      <c r="H137" s="79">
        <v>1951800</v>
      </c>
      <c r="I137" s="15">
        <f>+G137+H137</f>
        <v>6390800</v>
      </c>
      <c r="J137" s="143">
        <f>+I137/F137</f>
        <v>0.45447304793059307</v>
      </c>
      <c r="K137" s="80">
        <f>+juli!M137</f>
        <v>4439000</v>
      </c>
      <c r="L137" s="80">
        <v>1880700</v>
      </c>
      <c r="M137" s="80">
        <f>+K137+L137</f>
        <v>6319700</v>
      </c>
      <c r="N137" s="171">
        <f>+M137/F137</f>
        <v>0.44941686815531218</v>
      </c>
      <c r="O137" s="15">
        <f>+F137-M137</f>
        <v>7742300</v>
      </c>
      <c r="P137" s="77"/>
      <c r="Q137" s="6" t="str">
        <f t="shared" ref="Q137" si="76">IF(M137&lt;=I137,"OKE","Salah")</f>
        <v>OKE</v>
      </c>
      <c r="R137" s="6"/>
    </row>
    <row r="138" spans="1:23" ht="14.2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20.25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7379000</v>
      </c>
      <c r="H139" s="141">
        <f>+H135+H137</f>
        <v>1951800</v>
      </c>
      <c r="I139" s="141">
        <f>+G139+H139</f>
        <v>9330800</v>
      </c>
      <c r="J139" s="233">
        <f>+I139/F139</f>
        <v>0.35853906895425464</v>
      </c>
      <c r="K139" s="141">
        <f>+K135+K137</f>
        <v>7379000</v>
      </c>
      <c r="L139" s="141">
        <f>+L135+L137</f>
        <v>1880700</v>
      </c>
      <c r="M139" s="232">
        <f>+K139+L139</f>
        <v>9259700</v>
      </c>
      <c r="N139" s="247">
        <f>+M139/F139</f>
        <v>0.35580702799285291</v>
      </c>
      <c r="O139" s="141"/>
      <c r="P139" s="83"/>
      <c r="Q139" s="6"/>
      <c r="R139" s="6"/>
    </row>
    <row r="140" spans="1:23" ht="27.75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13371250992</v>
      </c>
      <c r="H140" s="178">
        <f t="shared" si="77"/>
        <v>1652864862</v>
      </c>
      <c r="I140" s="312">
        <f>+G140+H140</f>
        <v>15024115854</v>
      </c>
      <c r="J140" s="168">
        <f>+I140/F140</f>
        <v>0.62943672967926267</v>
      </c>
      <c r="K140" s="314">
        <f t="shared" ref="K140:L140" si="78">SUM(K142:K146)</f>
        <v>13371239292</v>
      </c>
      <c r="L140" s="178">
        <f t="shared" si="78"/>
        <v>1652864862</v>
      </c>
      <c r="M140" s="351">
        <f>+K140+L140</f>
        <v>15024104154</v>
      </c>
      <c r="N140" s="169">
        <f>+M140/D140</f>
        <v>0.6294362395066756</v>
      </c>
      <c r="O140" s="10">
        <f>+F140-M140</f>
        <v>8845039710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+juli!I142</f>
        <v>13343418892</v>
      </c>
      <c r="H142" s="79">
        <f>675511485+21862058+20629678+15600000+915145641</f>
        <v>1648748862</v>
      </c>
      <c r="I142" s="352">
        <f>+G142+H142</f>
        <v>14992167754</v>
      </c>
      <c r="J142" s="143">
        <f>+I142/F142</f>
        <v>0.62960255606142101</v>
      </c>
      <c r="K142" s="315">
        <f>+juli!M142</f>
        <v>13343418892</v>
      </c>
      <c r="L142" s="79">
        <f>675511485+21862058+20629678+15600000+915145641</f>
        <v>1648748862</v>
      </c>
      <c r="M142" s="315">
        <f>+K142+L142</f>
        <v>14992167754</v>
      </c>
      <c r="N142" s="171">
        <f>+M142/D142</f>
        <v>0.62960255606142101</v>
      </c>
      <c r="O142" s="15">
        <f>+F142-M142</f>
        <v>8819946110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+juli!I144</f>
        <v>19977500</v>
      </c>
      <c r="H144" s="79">
        <v>4116000</v>
      </c>
      <c r="I144" s="15">
        <f>+G144+H144</f>
        <v>24093500</v>
      </c>
      <c r="J144" s="143">
        <f>+I144/F144</f>
        <v>0.54203599550056247</v>
      </c>
      <c r="K144" s="80">
        <f>+juli!M144</f>
        <v>19977500</v>
      </c>
      <c r="L144" s="80">
        <v>4116000</v>
      </c>
      <c r="M144" s="80">
        <f>+K144+L144</f>
        <v>24093500</v>
      </c>
      <c r="N144" s="171">
        <f>+M144/D144</f>
        <v>0.54203599550056247</v>
      </c>
      <c r="O144" s="15">
        <f>+F144-M144</f>
        <v>20356500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+juli!I146</f>
        <v>7854600</v>
      </c>
      <c r="H146" s="79">
        <v>0</v>
      </c>
      <c r="I146" s="15">
        <f>+G146+H146</f>
        <v>7854600</v>
      </c>
      <c r="J146" s="143">
        <f>+I146/F146</f>
        <v>0.62437201907790141</v>
      </c>
      <c r="K146" s="80">
        <f>+juli!M146</f>
        <v>7842900</v>
      </c>
      <c r="L146" s="80">
        <v>0</v>
      </c>
      <c r="M146" s="80">
        <f>+K146+L146</f>
        <v>7842900</v>
      </c>
      <c r="N146" s="171">
        <f>+M146/D146</f>
        <v>0.62344197138314783</v>
      </c>
      <c r="O146" s="15">
        <f>+F146-M146</f>
        <v>4737100</v>
      </c>
      <c r="P146" s="83"/>
      <c r="Q146" s="6" t="str">
        <f t="shared" ref="Q146" si="80">IF(M146&lt;=I146,"OKE","Salah")</f>
        <v>OKE</v>
      </c>
      <c r="R146" s="6"/>
    </row>
    <row r="147" spans="1:19" ht="24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13371250992</v>
      </c>
      <c r="H147" s="141">
        <f>SUM(H142:H146)</f>
        <v>1652864862</v>
      </c>
      <c r="I147" s="313">
        <f>+G147+H147</f>
        <v>15024115854</v>
      </c>
      <c r="J147" s="247"/>
      <c r="K147" s="313">
        <f>SUM(K142:K146)</f>
        <v>13371239292</v>
      </c>
      <c r="L147" s="141">
        <f>SUM(L142:L146)</f>
        <v>1652864862</v>
      </c>
      <c r="M147" s="353">
        <f>+K147+L147</f>
        <v>15024104154</v>
      </c>
      <c r="N147" s="173">
        <f>+M147/D147</f>
        <v>0.6294362395066756</v>
      </c>
      <c r="O147" s="141">
        <f>+F147-M147</f>
        <v>8845039710</v>
      </c>
      <c r="P147" s="83"/>
      <c r="Q147" s="6"/>
      <c r="R147" s="6"/>
    </row>
    <row r="148" spans="1:19" ht="15.95" customHeight="1" x14ac:dyDescent="0.2">
      <c r="A148" s="74"/>
      <c r="B148" s="29"/>
      <c r="C148" s="25"/>
      <c r="D148" s="178"/>
      <c r="E148" s="221"/>
      <c r="F148" s="178"/>
      <c r="G148" s="178"/>
      <c r="H148" s="178"/>
      <c r="I148" s="10"/>
      <c r="J148" s="168"/>
      <c r="K148" s="194"/>
      <c r="L148" s="180"/>
      <c r="M148" s="180"/>
      <c r="N148" s="169"/>
      <c r="O148" s="10"/>
      <c r="P148" s="208"/>
      <c r="Q148" s="6"/>
      <c r="R148" s="6"/>
    </row>
    <row r="149" spans="1:19" ht="14.1" customHeight="1" x14ac:dyDescent="0.2">
      <c r="A149" s="212"/>
      <c r="B149" s="214" t="s">
        <v>193</v>
      </c>
      <c r="C149" s="469" t="s">
        <v>313</v>
      </c>
      <c r="D149" s="178">
        <f>+D151</f>
        <v>1621482000</v>
      </c>
      <c r="E149" s="221"/>
      <c r="F149" s="178">
        <f>+D149+E149</f>
        <v>1621482000</v>
      </c>
      <c r="G149" s="178">
        <f t="shared" ref="G149:H149" si="82">+G151</f>
        <v>645548942</v>
      </c>
      <c r="H149" s="178">
        <f t="shared" si="82"/>
        <v>136022865</v>
      </c>
      <c r="I149" s="10">
        <f>+G149+H149</f>
        <v>781571807</v>
      </c>
      <c r="J149" s="168">
        <f>+I149/F149</f>
        <v>0.48201078211167314</v>
      </c>
      <c r="K149" s="178">
        <f t="shared" ref="K149:L149" si="83">+K151</f>
        <v>645548942</v>
      </c>
      <c r="L149" s="178">
        <f t="shared" si="83"/>
        <v>136022865</v>
      </c>
      <c r="M149" s="180">
        <f>+K149+L149</f>
        <v>781571807</v>
      </c>
      <c r="N149" s="169">
        <f>+M149/D149</f>
        <v>0.48201078211167314</v>
      </c>
      <c r="O149" s="10">
        <f>+F149-M149</f>
        <v>839910193</v>
      </c>
      <c r="P149" s="208"/>
      <c r="Q149" s="6" t="str">
        <f t="shared" ref="Q149" si="84">IF(M149&lt;=I149,"OKE","Salah")</f>
        <v>OKE</v>
      </c>
      <c r="R149" s="6"/>
    </row>
    <row r="150" spans="1:19" ht="14.1" customHeight="1" x14ac:dyDescent="0.2">
      <c r="A150" s="212"/>
      <c r="B150" s="218"/>
      <c r="C150" s="469"/>
      <c r="D150" s="178"/>
      <c r="E150" s="221"/>
      <c r="F150" s="178"/>
      <c r="G150" s="178"/>
      <c r="H150" s="178"/>
      <c r="I150" s="10"/>
      <c r="J150" s="168"/>
      <c r="K150" s="194"/>
      <c r="L150" s="180"/>
      <c r="M150" s="180"/>
      <c r="N150" s="169"/>
      <c r="O150" s="10"/>
      <c r="P150" s="208"/>
      <c r="Q150" s="6"/>
      <c r="R150" s="6"/>
    </row>
    <row r="151" spans="1:19" ht="14.1" customHeight="1" x14ac:dyDescent="0.2">
      <c r="A151" s="74">
        <v>6</v>
      </c>
      <c r="B151" s="218"/>
      <c r="C151" s="219" t="s">
        <v>314</v>
      </c>
      <c r="D151" s="13">
        <v>1621482000</v>
      </c>
      <c r="E151" s="14"/>
      <c r="F151" s="13">
        <f>D151</f>
        <v>1621482000</v>
      </c>
      <c r="G151" s="80">
        <f>+juli!I151</f>
        <v>645548942</v>
      </c>
      <c r="H151" s="79">
        <f>56354856+4598328+749681+26400000+47920000</f>
        <v>136022865</v>
      </c>
      <c r="I151" s="15">
        <f>+G151+H151</f>
        <v>781571807</v>
      </c>
      <c r="J151" s="143">
        <f>+I151/F151</f>
        <v>0.48201078211167314</v>
      </c>
      <c r="K151" s="80">
        <f>+juli!M151</f>
        <v>645548942</v>
      </c>
      <c r="L151" s="79">
        <f>56354856+4598328+749681+26400000+47920000</f>
        <v>136022865</v>
      </c>
      <c r="M151" s="80">
        <f>+K151+L151</f>
        <v>781571807</v>
      </c>
      <c r="N151" s="171">
        <f>+M151/D151</f>
        <v>0.48201078211167314</v>
      </c>
      <c r="O151" s="15">
        <f>+F151-M151</f>
        <v>839910193</v>
      </c>
      <c r="P151" s="83"/>
      <c r="Q151" s="6" t="str">
        <f t="shared" ref="Q151:Q153" si="85">IF(M151&lt;=I151,"OKE","Salah")</f>
        <v>OKE</v>
      </c>
      <c r="R151" s="6"/>
    </row>
    <row r="152" spans="1:19" ht="14.1" customHeight="1" x14ac:dyDescent="0.2">
      <c r="A152" s="212"/>
      <c r="B152" s="218"/>
      <c r="C152" s="25"/>
      <c r="D152" s="178"/>
      <c r="E152" s="221"/>
      <c r="F152" s="178"/>
      <c r="G152" s="178"/>
      <c r="H152" s="178"/>
      <c r="I152" s="10"/>
      <c r="J152" s="168"/>
      <c r="K152" s="194"/>
      <c r="L152" s="180"/>
      <c r="M152" s="180"/>
      <c r="N152" s="169"/>
      <c r="O152" s="10"/>
      <c r="P152" s="208"/>
      <c r="Q152" s="6"/>
      <c r="R152" s="6"/>
    </row>
    <row r="153" spans="1:19" ht="20.25" customHeight="1" x14ac:dyDescent="0.2">
      <c r="A153" s="226"/>
      <c r="B153" s="227"/>
      <c r="C153" s="223" t="s">
        <v>171</v>
      </c>
      <c r="D153" s="224">
        <f>+D151</f>
        <v>1621482000</v>
      </c>
      <c r="E153" s="224">
        <f t="shared" ref="E153:F153" si="86">+E151</f>
        <v>0</v>
      </c>
      <c r="F153" s="224">
        <f t="shared" si="86"/>
        <v>1621482000</v>
      </c>
      <c r="G153" s="224">
        <f>+G151</f>
        <v>645548942</v>
      </c>
      <c r="H153" s="224">
        <f>+H151</f>
        <v>136022865</v>
      </c>
      <c r="I153" s="141">
        <f>+G153+H153</f>
        <v>781571807</v>
      </c>
      <c r="J153" s="176">
        <f>+I153/F153</f>
        <v>0.48201078211167314</v>
      </c>
      <c r="K153" s="224">
        <f t="shared" ref="K153:L153" si="87">+K151</f>
        <v>645548942</v>
      </c>
      <c r="L153" s="224">
        <f t="shared" si="87"/>
        <v>136022865</v>
      </c>
      <c r="M153" s="232">
        <f>+K153+L153</f>
        <v>781571807</v>
      </c>
      <c r="N153" s="173">
        <f>+M153/D153</f>
        <v>0.48201078211167314</v>
      </c>
      <c r="O153" s="141">
        <f>+F153-M153</f>
        <v>839910193</v>
      </c>
      <c r="P153" s="208"/>
      <c r="Q153" s="6" t="str">
        <f t="shared" si="85"/>
        <v>OKE</v>
      </c>
      <c r="R153" s="6"/>
    </row>
    <row r="154" spans="1:19" ht="14.1" customHeight="1" x14ac:dyDescent="0.2">
      <c r="A154" s="212"/>
      <c r="B154" s="218"/>
      <c r="C154" s="25"/>
      <c r="D154" s="178"/>
      <c r="E154" s="221"/>
      <c r="F154" s="178"/>
      <c r="G154" s="178"/>
      <c r="H154" s="178"/>
      <c r="I154" s="10"/>
      <c r="J154" s="168"/>
      <c r="K154" s="194"/>
      <c r="L154" s="180"/>
      <c r="M154" s="180"/>
      <c r="N154" s="169"/>
      <c r="O154" s="10"/>
      <c r="P154" s="208"/>
      <c r="Q154" s="6"/>
      <c r="R154" s="6"/>
    </row>
    <row r="155" spans="1:19" ht="26.25" customHeight="1" x14ac:dyDescent="0.2">
      <c r="A155" s="74"/>
      <c r="B155" s="214" t="s">
        <v>304</v>
      </c>
      <c r="C155" s="357" t="s">
        <v>277</v>
      </c>
      <c r="D155" s="178">
        <f>+D157</f>
        <v>176581229</v>
      </c>
      <c r="E155" s="14"/>
      <c r="F155" s="13">
        <f>E155+D155</f>
        <v>176581229</v>
      </c>
      <c r="G155" s="80">
        <f>+maret!I169</f>
        <v>0</v>
      </c>
      <c r="H155" s="178">
        <f>+H157+H160</f>
        <v>0</v>
      </c>
      <c r="I155" s="10">
        <f>+G155+H155</f>
        <v>0</v>
      </c>
      <c r="J155" s="168">
        <f>+I155/F155</f>
        <v>0</v>
      </c>
      <c r="K155" s="178">
        <f>+K157+K160</f>
        <v>0</v>
      </c>
      <c r="L155" s="178">
        <f>+L157+L160</f>
        <v>0</v>
      </c>
      <c r="M155" s="180">
        <f>+K155+L155</f>
        <v>0</v>
      </c>
      <c r="N155" s="169">
        <f>+M155/D155</f>
        <v>0</v>
      </c>
      <c r="O155" s="10">
        <f>+F155-M155</f>
        <v>176581229</v>
      </c>
      <c r="P155" s="83"/>
      <c r="Q155" s="6" t="str">
        <f t="shared" ref="Q155" si="88">IF(M155&lt;=I155,"OKE","Salah")</f>
        <v>OKE</v>
      </c>
      <c r="R155" s="6"/>
    </row>
    <row r="156" spans="1:19" ht="15" customHeight="1" x14ac:dyDescent="0.2">
      <c r="A156" s="74"/>
      <c r="B156" s="74"/>
      <c r="C156" s="76"/>
      <c r="D156" s="15"/>
      <c r="E156" s="15"/>
      <c r="F156" s="15"/>
      <c r="G156" s="80"/>
      <c r="H156" s="79"/>
      <c r="I156" s="80"/>
      <c r="J156" s="86"/>
      <c r="K156" s="80"/>
      <c r="L156" s="76"/>
      <c r="M156" s="76"/>
      <c r="N156" s="86"/>
      <c r="O156" s="10"/>
      <c r="P156" s="83"/>
      <c r="Q156" s="6"/>
      <c r="R156" s="6"/>
    </row>
    <row r="157" spans="1:19" ht="18.75" customHeight="1" x14ac:dyDescent="0.2">
      <c r="A157" s="74">
        <v>7</v>
      </c>
      <c r="B157" s="29" t="s">
        <v>303</v>
      </c>
      <c r="C157" s="27" t="s">
        <v>278</v>
      </c>
      <c r="D157" s="13">
        <v>176581229</v>
      </c>
      <c r="E157" s="14"/>
      <c r="F157" s="13">
        <f>E157+D157</f>
        <v>176581229</v>
      </c>
      <c r="G157" s="80">
        <f>+juli!I157</f>
        <v>0</v>
      </c>
      <c r="H157" s="79">
        <v>0</v>
      </c>
      <c r="I157" s="15">
        <f>+G157+H157</f>
        <v>0</v>
      </c>
      <c r="J157" s="143">
        <f>+I157/F157</f>
        <v>0</v>
      </c>
      <c r="K157" s="80">
        <f>+juli!M157</f>
        <v>0</v>
      </c>
      <c r="L157" s="80">
        <v>0</v>
      </c>
      <c r="M157" s="80">
        <f>+K157+L157</f>
        <v>0</v>
      </c>
      <c r="N157" s="171">
        <f>+M157/D157</f>
        <v>0</v>
      </c>
      <c r="O157" s="15">
        <f>+F157-M157</f>
        <v>176581229</v>
      </c>
      <c r="P157" s="83"/>
      <c r="Q157" s="6" t="str">
        <f t="shared" ref="Q157" si="89">IF(M157&lt;=I157,"OKE","Salah")</f>
        <v>OKE</v>
      </c>
      <c r="R157" s="6"/>
    </row>
    <row r="158" spans="1:19" ht="13.5" customHeight="1" x14ac:dyDescent="0.2">
      <c r="A158" s="74"/>
      <c r="B158" s="29"/>
      <c r="C158" s="27"/>
      <c r="D158" s="13"/>
      <c r="E158" s="14"/>
      <c r="F158" s="13"/>
      <c r="G158" s="78"/>
      <c r="H158" s="79"/>
      <c r="I158" s="15"/>
      <c r="J158" s="143"/>
      <c r="K158" s="78"/>
      <c r="L158" s="80"/>
      <c r="M158" s="80"/>
      <c r="N158" s="171"/>
      <c r="O158" s="15"/>
      <c r="P158" s="83"/>
      <c r="Q158" s="6"/>
      <c r="R158" s="6"/>
    </row>
    <row r="159" spans="1:19" ht="18.75" customHeight="1" x14ac:dyDescent="0.2">
      <c r="A159" s="139"/>
      <c r="B159" s="222"/>
      <c r="C159" s="223" t="s">
        <v>171</v>
      </c>
      <c r="D159" s="224">
        <f>+D157</f>
        <v>176581229</v>
      </c>
      <c r="E159" s="224">
        <f>+E157</f>
        <v>0</v>
      </c>
      <c r="F159" s="224">
        <f>+F157</f>
        <v>176581229</v>
      </c>
      <c r="G159" s="224">
        <f>+G157</f>
        <v>0</v>
      </c>
      <c r="H159" s="224">
        <f>+H157</f>
        <v>0</v>
      </c>
      <c r="I159" s="141">
        <f>+G159+H159</f>
        <v>0</v>
      </c>
      <c r="J159" s="176">
        <f>+I159/F159</f>
        <v>0</v>
      </c>
      <c r="K159" s="224">
        <f>+K157</f>
        <v>0</v>
      </c>
      <c r="L159" s="224">
        <f>+L157</f>
        <v>0</v>
      </c>
      <c r="M159" s="232">
        <f>+K159+L159</f>
        <v>0</v>
      </c>
      <c r="N159" s="173">
        <f>+M159/D159</f>
        <v>0</v>
      </c>
      <c r="O159" s="141">
        <f>+F159-M159</f>
        <v>176581229</v>
      </c>
      <c r="P159" s="208"/>
      <c r="Q159" s="6" t="str">
        <f t="shared" ref="Q159" si="90">IF(M159&lt;=I159,"OKE","Salah")</f>
        <v>OKE</v>
      </c>
      <c r="R159" s="6"/>
    </row>
    <row r="160" spans="1:19" ht="14.1" customHeight="1" x14ac:dyDescent="0.2">
      <c r="A160" s="81"/>
      <c r="B160" s="81"/>
      <c r="C160" s="251"/>
      <c r="D160" s="32"/>
      <c r="E160" s="32"/>
      <c r="F160" s="32"/>
      <c r="G160" s="252"/>
      <c r="H160" s="253"/>
      <c r="I160" s="252"/>
      <c r="J160" s="254"/>
      <c r="K160" s="252"/>
      <c r="L160" s="251"/>
      <c r="M160" s="251"/>
      <c r="N160" s="86"/>
      <c r="O160" s="76"/>
      <c r="P160" s="83"/>
      <c r="Q160" s="6"/>
      <c r="R160" s="6"/>
    </row>
    <row r="161" spans="1:18" ht="14.1" customHeight="1" x14ac:dyDescent="0.2">
      <c r="A161" s="388"/>
      <c r="B161" s="388"/>
      <c r="C161" s="395" t="s">
        <v>137</v>
      </c>
      <c r="D161" s="364">
        <f>+D139+D147+D153+D159</f>
        <v>25693231593</v>
      </c>
      <c r="E161" s="364">
        <v>0</v>
      </c>
      <c r="F161" s="364">
        <f>+D161+E161</f>
        <v>25693231593</v>
      </c>
      <c r="G161" s="455">
        <f>+G139+G147+G153+G159</f>
        <v>14024178934</v>
      </c>
      <c r="H161" s="364">
        <f>+H139+H147+H153+H159</f>
        <v>1790839527</v>
      </c>
      <c r="I161" s="455">
        <f>+I139+I147+I153+I159</f>
        <v>15815018461</v>
      </c>
      <c r="J161" s="398">
        <f>+I161/F161</f>
        <v>0.61553247608248418</v>
      </c>
      <c r="K161" s="455">
        <f>+K139+K147+K159+K153</f>
        <v>14024167234</v>
      </c>
      <c r="L161" s="364">
        <f>+L139+L147+L153+L159</f>
        <v>1790768427</v>
      </c>
      <c r="M161" s="455">
        <f>+K161+L161</f>
        <v>15814935661</v>
      </c>
      <c r="N161" s="405">
        <f>+M161/F161</f>
        <v>0.61552925344387999</v>
      </c>
      <c r="O161" s="402">
        <f>+F161-M161</f>
        <v>9878295932</v>
      </c>
      <c r="P161" s="83"/>
      <c r="Q161" s="6" t="str">
        <f t="shared" ref="Q161:Q162" si="91">IF(M161&lt;=I161,"OKE","Salah")</f>
        <v>OKE</v>
      </c>
      <c r="R161" s="6"/>
    </row>
    <row r="162" spans="1:18" ht="14.1" customHeight="1" x14ac:dyDescent="0.2">
      <c r="A162" s="389"/>
      <c r="B162" s="389"/>
      <c r="C162" s="396"/>
      <c r="D162" s="396"/>
      <c r="E162" s="396"/>
      <c r="F162" s="396"/>
      <c r="G162" s="456"/>
      <c r="H162" s="396"/>
      <c r="I162" s="456"/>
      <c r="J162" s="404"/>
      <c r="K162" s="456"/>
      <c r="L162" s="396"/>
      <c r="M162" s="464"/>
      <c r="N162" s="406"/>
      <c r="O162" s="403"/>
      <c r="P162" s="83"/>
      <c r="Q162" s="6" t="str">
        <f t="shared" si="91"/>
        <v>OKE</v>
      </c>
      <c r="R162" s="6"/>
    </row>
    <row r="163" spans="1:18" ht="15" customHeight="1" x14ac:dyDescent="0.2">
      <c r="A163" s="74"/>
      <c r="B163" s="74"/>
      <c r="C163" s="76"/>
      <c r="D163" s="15"/>
      <c r="E163" s="15"/>
      <c r="F163" s="15"/>
      <c r="G163" s="80"/>
      <c r="H163" s="79"/>
      <c r="I163" s="80"/>
      <c r="J163" s="86"/>
      <c r="K163" s="80"/>
      <c r="L163" s="76"/>
      <c r="M163" s="76"/>
      <c r="N163" s="86"/>
      <c r="O163" s="10"/>
      <c r="P163" s="83"/>
      <c r="Q163" s="6"/>
      <c r="R163" s="6"/>
    </row>
    <row r="164" spans="1:18" ht="15" customHeight="1" x14ac:dyDescent="0.2">
      <c r="A164" s="74"/>
      <c r="B164" s="74"/>
      <c r="C164" s="76"/>
      <c r="D164" s="15"/>
      <c r="E164" s="15"/>
      <c r="F164" s="15"/>
      <c r="G164" s="80"/>
      <c r="H164" s="79"/>
      <c r="I164" s="80"/>
      <c r="J164" s="86"/>
      <c r="K164" s="80"/>
      <c r="L164" s="76"/>
      <c r="M164" s="76"/>
      <c r="N164" s="86"/>
      <c r="O164" s="10"/>
      <c r="P164" s="83"/>
      <c r="Q164" s="6"/>
      <c r="R164" s="6"/>
    </row>
    <row r="165" spans="1:18" ht="15" customHeight="1" x14ac:dyDescent="0.2">
      <c r="A165" s="74"/>
      <c r="B165" s="74"/>
      <c r="C165" s="244" t="s">
        <v>70</v>
      </c>
      <c r="D165" s="15"/>
      <c r="E165" s="15"/>
      <c r="F165" s="15"/>
      <c r="G165" s="80"/>
      <c r="H165" s="79"/>
      <c r="I165" s="80"/>
      <c r="J165" s="86"/>
      <c r="K165" s="80"/>
      <c r="L165" s="76"/>
      <c r="M165" s="76"/>
      <c r="N165" s="86"/>
      <c r="O165" s="10"/>
      <c r="P165" s="83"/>
      <c r="Q165" s="6"/>
      <c r="R165" s="6"/>
    </row>
    <row r="166" spans="1:18" ht="14.1" customHeight="1" x14ac:dyDescent="0.2">
      <c r="A166" s="74"/>
      <c r="B166" s="74"/>
      <c r="C166" s="76"/>
      <c r="D166" s="15"/>
      <c r="E166" s="15"/>
      <c r="F166" s="15"/>
      <c r="G166" s="80"/>
      <c r="H166" s="79"/>
      <c r="I166" s="80"/>
      <c r="J166" s="86"/>
      <c r="K166" s="80"/>
      <c r="L166" s="76"/>
      <c r="M166" s="76"/>
      <c r="N166" s="86"/>
      <c r="O166" s="10"/>
      <c r="P166" s="77"/>
      <c r="Q166" s="6"/>
      <c r="R166" s="6"/>
    </row>
    <row r="167" spans="1:18" ht="24.75" customHeight="1" x14ac:dyDescent="0.2">
      <c r="A167" s="7"/>
      <c r="B167" s="206" t="s">
        <v>154</v>
      </c>
      <c r="C167" s="201" t="s">
        <v>153</v>
      </c>
      <c r="D167" s="10">
        <f>+D169</f>
        <v>1189109400</v>
      </c>
      <c r="E167" s="10">
        <f t="shared" ref="E167:H167" si="92">+E169</f>
        <v>0</v>
      </c>
      <c r="F167" s="10">
        <f t="shared" si="92"/>
        <v>1189109400</v>
      </c>
      <c r="G167" s="10">
        <f t="shared" si="92"/>
        <v>538626820</v>
      </c>
      <c r="H167" s="10">
        <f t="shared" si="92"/>
        <v>128222400</v>
      </c>
      <c r="I167" s="10">
        <f>+G167+H167</f>
        <v>666849220</v>
      </c>
      <c r="J167" s="168">
        <f>+I167/F167</f>
        <v>0.5607971983065646</v>
      </c>
      <c r="K167" s="10">
        <f t="shared" ref="K167:L167" si="93">+K169</f>
        <v>538616720</v>
      </c>
      <c r="L167" s="10">
        <f t="shared" si="93"/>
        <v>128222450</v>
      </c>
      <c r="M167" s="10">
        <f>+K167+L167</f>
        <v>666839170</v>
      </c>
      <c r="N167" s="169">
        <f>+M167/F167</f>
        <v>0.56078874660313005</v>
      </c>
      <c r="O167" s="10">
        <f>+F167-M167</f>
        <v>522270230</v>
      </c>
      <c r="P167" s="77"/>
      <c r="Q167" s="6" t="str">
        <f t="shared" ref="Q167" si="94">IF(M167&lt;=I167,"OKE","Salah")</f>
        <v>OKE</v>
      </c>
      <c r="R167" s="6"/>
    </row>
    <row r="168" spans="1:18" ht="14.1" customHeight="1" x14ac:dyDescent="0.2">
      <c r="A168" s="74"/>
      <c r="B168" s="74"/>
      <c r="C168" s="76"/>
      <c r="D168" s="15"/>
      <c r="E168" s="15"/>
      <c r="F168" s="15"/>
      <c r="G168" s="80"/>
      <c r="H168" s="79"/>
      <c r="I168" s="80"/>
      <c r="J168" s="86"/>
      <c r="K168" s="80"/>
      <c r="L168" s="76"/>
      <c r="M168" s="76"/>
      <c r="N168" s="86"/>
      <c r="O168" s="10"/>
      <c r="P168" s="77"/>
      <c r="Q168" s="6"/>
      <c r="R168" s="6"/>
    </row>
    <row r="169" spans="1:18" ht="18" customHeight="1" x14ac:dyDescent="0.2">
      <c r="A169" s="74"/>
      <c r="B169" s="95" t="s">
        <v>212</v>
      </c>
      <c r="C169" s="25" t="s">
        <v>213</v>
      </c>
      <c r="D169" s="178">
        <f>SUM(D171:D177)</f>
        <v>1189109400</v>
      </c>
      <c r="E169" s="14"/>
      <c r="F169" s="178">
        <f>E169+D169</f>
        <v>1189109400</v>
      </c>
      <c r="G169" s="178">
        <f>SUM(G171:G177)</f>
        <v>538626820</v>
      </c>
      <c r="H169" s="178">
        <f>SUM(H171:H177)</f>
        <v>128222400</v>
      </c>
      <c r="I169" s="10">
        <f>H169+G169</f>
        <v>666849220</v>
      </c>
      <c r="J169" s="168">
        <f>+I169/F169</f>
        <v>0.5607971983065646</v>
      </c>
      <c r="K169" s="178">
        <f>SUM(K171:K177)</f>
        <v>538616720</v>
      </c>
      <c r="L169" s="178">
        <f>SUM(L171:L177)</f>
        <v>128222450</v>
      </c>
      <c r="M169" s="180">
        <f>+K169+L169</f>
        <v>666839170</v>
      </c>
      <c r="N169" s="169">
        <f>+M169/F169</f>
        <v>0.56078874660313005</v>
      </c>
      <c r="O169" s="10">
        <f>+F169-M169</f>
        <v>522270230</v>
      </c>
      <c r="P169" s="77"/>
      <c r="Q169" s="6" t="str">
        <f t="shared" ref="Q169" si="95">IF(M169&lt;=I169,"OKE","Salah")</f>
        <v>OKE</v>
      </c>
      <c r="R169" s="6"/>
    </row>
    <row r="170" spans="1:18" ht="15.75" customHeight="1" x14ac:dyDescent="0.2">
      <c r="A170" s="74"/>
      <c r="B170" s="95"/>
      <c r="C170" s="27"/>
      <c r="D170" s="13"/>
      <c r="E170" s="14"/>
      <c r="F170" s="13"/>
      <c r="G170" s="78"/>
      <c r="H170" s="79"/>
      <c r="I170" s="15"/>
      <c r="J170" s="143"/>
      <c r="K170" s="80"/>
      <c r="L170" s="80"/>
      <c r="M170" s="80"/>
      <c r="N170" s="171"/>
      <c r="O170" s="15"/>
      <c r="P170" s="77"/>
      <c r="Q170" s="6"/>
      <c r="R170" s="6"/>
    </row>
    <row r="171" spans="1:18" ht="14.1" customHeight="1" x14ac:dyDescent="0.2">
      <c r="A171" s="74">
        <v>1</v>
      </c>
      <c r="B171" s="95" t="s">
        <v>215</v>
      </c>
      <c r="C171" s="27" t="s">
        <v>214</v>
      </c>
      <c r="D171" s="13">
        <v>206216100</v>
      </c>
      <c r="E171" s="14"/>
      <c r="F171" s="13">
        <f>E171+D171</f>
        <v>206216100</v>
      </c>
      <c r="G171" s="80">
        <f>+juli!I171</f>
        <v>108510520</v>
      </c>
      <c r="H171" s="79">
        <f>3400000+13046250</f>
        <v>16446250</v>
      </c>
      <c r="I171" s="15">
        <f>H171+G171</f>
        <v>124956770</v>
      </c>
      <c r="J171" s="143">
        <f>+I171/F171</f>
        <v>0.60595060230505771</v>
      </c>
      <c r="K171" s="80">
        <f>+juli!M171</f>
        <v>108510520</v>
      </c>
      <c r="L171" s="79">
        <f>3400000+13046250</f>
        <v>16446250</v>
      </c>
      <c r="M171" s="80">
        <f>+K171+L171</f>
        <v>124956770</v>
      </c>
      <c r="N171" s="171">
        <f>+M171/F171</f>
        <v>0.60595060230505771</v>
      </c>
      <c r="O171" s="15">
        <f>+F171-M171</f>
        <v>81259330</v>
      </c>
      <c r="P171" s="77"/>
      <c r="Q171" s="6" t="str">
        <f t="shared" ref="Q171" si="96">IF(M171&lt;=I171,"OKE","Salah")</f>
        <v>OKE</v>
      </c>
      <c r="R171" s="6"/>
    </row>
    <row r="172" spans="1:18" ht="15.75" customHeight="1" x14ac:dyDescent="0.2">
      <c r="A172" s="74"/>
      <c r="B172" s="95"/>
      <c r="C172" s="27"/>
      <c r="D172" s="13"/>
      <c r="E172" s="14"/>
      <c r="F172" s="13"/>
      <c r="G172" s="78"/>
      <c r="H172" s="79"/>
      <c r="I172" s="15"/>
      <c r="J172" s="143"/>
      <c r="K172" s="80"/>
      <c r="L172" s="80"/>
      <c r="M172" s="80"/>
      <c r="N172" s="171"/>
      <c r="O172" s="15"/>
      <c r="P172" s="77"/>
      <c r="Q172" s="6"/>
      <c r="R172" s="6"/>
    </row>
    <row r="173" spans="1:18" ht="14.1" customHeight="1" x14ac:dyDescent="0.2">
      <c r="A173" s="74">
        <v>2</v>
      </c>
      <c r="B173" s="95" t="s">
        <v>217</v>
      </c>
      <c r="C173" s="27" t="s">
        <v>216</v>
      </c>
      <c r="D173" s="13">
        <v>615087000</v>
      </c>
      <c r="E173" s="14"/>
      <c r="F173" s="13">
        <f>E173+D173</f>
        <v>615087000</v>
      </c>
      <c r="G173" s="80">
        <f>+juli!I173</f>
        <v>300808100</v>
      </c>
      <c r="H173" s="79">
        <f>8931000+14700000+12739950+36000000</f>
        <v>72370950</v>
      </c>
      <c r="I173" s="15">
        <f>H173+G173</f>
        <v>373179050</v>
      </c>
      <c r="J173" s="143">
        <f>+I173/F173</f>
        <v>0.60670937607200282</v>
      </c>
      <c r="K173" s="80">
        <f>+juli!M173</f>
        <v>300798000</v>
      </c>
      <c r="L173" s="80">
        <f>8931000+14700000+36000000+12740000</f>
        <v>72371000</v>
      </c>
      <c r="M173" s="80">
        <f>+K173+L173</f>
        <v>373169000</v>
      </c>
      <c r="N173" s="171">
        <f>+M173/F173</f>
        <v>0.60669303691998044</v>
      </c>
      <c r="O173" s="15">
        <f>+F173-M173</f>
        <v>241918000</v>
      </c>
      <c r="P173" s="77"/>
      <c r="Q173" s="6" t="str">
        <f t="shared" ref="Q173" si="97">IF(M173&lt;=I173,"OKE","Salah")</f>
        <v>OKE</v>
      </c>
      <c r="R173" s="6"/>
    </row>
    <row r="174" spans="1:18" ht="17.25" customHeight="1" x14ac:dyDescent="0.2">
      <c r="A174" s="74"/>
      <c r="B174" s="95"/>
      <c r="C174" s="27"/>
      <c r="D174" s="13"/>
      <c r="E174" s="14"/>
      <c r="F174" s="13"/>
      <c r="G174" s="78"/>
      <c r="H174" s="79"/>
      <c r="I174" s="15"/>
      <c r="J174" s="143"/>
      <c r="K174" s="80"/>
      <c r="L174" s="80"/>
      <c r="M174" s="80"/>
      <c r="N174" s="171"/>
      <c r="O174" s="15"/>
      <c r="P174" s="77"/>
      <c r="Q174" s="6"/>
      <c r="R174" s="6"/>
    </row>
    <row r="175" spans="1:18" ht="14.1" customHeight="1" x14ac:dyDescent="0.2">
      <c r="A175" s="74">
        <v>3</v>
      </c>
      <c r="B175" s="95" t="s">
        <v>219</v>
      </c>
      <c r="C175" s="27" t="s">
        <v>218</v>
      </c>
      <c r="D175" s="13">
        <v>257443800</v>
      </c>
      <c r="E175" s="14"/>
      <c r="F175" s="13">
        <f>E175+D175</f>
        <v>257443800</v>
      </c>
      <c r="G175" s="80">
        <f>+juli!I175</f>
        <v>90038700</v>
      </c>
      <c r="H175" s="79">
        <f>5150000+14300000+10675200</f>
        <v>30125200</v>
      </c>
      <c r="I175" s="15">
        <f>H175+G175</f>
        <v>120163900</v>
      </c>
      <c r="J175" s="143">
        <f>+I175/F175</f>
        <v>0.46675779335140327</v>
      </c>
      <c r="K175" s="80">
        <f>+juli!M175</f>
        <v>90038700</v>
      </c>
      <c r="L175" s="80">
        <f>5150000+14300000+10675200</f>
        <v>30125200</v>
      </c>
      <c r="M175" s="80">
        <f>+K175+L175</f>
        <v>120163900</v>
      </c>
      <c r="N175" s="171">
        <f>+M175/F175</f>
        <v>0.46675779335140327</v>
      </c>
      <c r="O175" s="15">
        <f>+F175-M175</f>
        <v>137279900</v>
      </c>
      <c r="P175" s="77"/>
      <c r="Q175" s="6" t="str">
        <f t="shared" ref="Q175" si="98">IF(M175&lt;=I175,"OKE","Salah")</f>
        <v>OKE</v>
      </c>
      <c r="R175" s="6"/>
    </row>
    <row r="176" spans="1:18" ht="17.25" customHeight="1" x14ac:dyDescent="0.2">
      <c r="A176" s="74"/>
      <c r="B176" s="95"/>
      <c r="C176" s="27"/>
      <c r="D176" s="13"/>
      <c r="E176" s="14"/>
      <c r="F176" s="13"/>
      <c r="G176" s="78"/>
      <c r="H176" s="79"/>
      <c r="I176" s="15"/>
      <c r="J176" s="143"/>
      <c r="K176" s="80"/>
      <c r="L176" s="80"/>
      <c r="M176" s="80"/>
      <c r="N176" s="171"/>
      <c r="O176" s="15"/>
      <c r="P176" s="77"/>
      <c r="Q176" s="6"/>
      <c r="R176" s="6"/>
    </row>
    <row r="177" spans="1:18" ht="27.75" customHeight="1" x14ac:dyDescent="0.2">
      <c r="A177" s="205">
        <v>4</v>
      </c>
      <c r="B177" s="220" t="s">
        <v>221</v>
      </c>
      <c r="C177" s="219" t="s">
        <v>220</v>
      </c>
      <c r="D177" s="213">
        <v>110362500</v>
      </c>
      <c r="E177" s="14"/>
      <c r="F177" s="13">
        <f>E177+D177</f>
        <v>110362500</v>
      </c>
      <c r="G177" s="80">
        <f>+juli!I177</f>
        <v>39269500</v>
      </c>
      <c r="H177" s="79">
        <v>9280000</v>
      </c>
      <c r="I177" s="15">
        <f>H177+G177</f>
        <v>48549500</v>
      </c>
      <c r="J177" s="143">
        <f>+I177/F177</f>
        <v>0.439909389511836</v>
      </c>
      <c r="K177" s="80">
        <f>+juli!M177</f>
        <v>39269500</v>
      </c>
      <c r="L177" s="80">
        <v>9280000</v>
      </c>
      <c r="M177" s="80">
        <f>+K177+L177</f>
        <v>48549500</v>
      </c>
      <c r="N177" s="171">
        <f>+M177/F177</f>
        <v>0.439909389511836</v>
      </c>
      <c r="O177" s="15">
        <f>+F177-M177</f>
        <v>61813000</v>
      </c>
      <c r="P177" s="77"/>
      <c r="Q177" s="6" t="str">
        <f t="shared" ref="Q177" si="99">IF(M177&lt;=I177,"OKE","Salah")</f>
        <v>OKE</v>
      </c>
      <c r="R177" s="6"/>
    </row>
    <row r="178" spans="1:18" ht="14.1" customHeight="1" x14ac:dyDescent="0.2">
      <c r="A178" s="139"/>
      <c r="B178" s="139"/>
      <c r="C178" s="140"/>
      <c r="D178" s="142"/>
      <c r="E178" s="142"/>
      <c r="F178" s="142"/>
      <c r="G178" s="188"/>
      <c r="H178" s="246"/>
      <c r="I178" s="188"/>
      <c r="J178" s="247"/>
      <c r="K178" s="188"/>
      <c r="L178" s="245"/>
      <c r="M178" s="245"/>
      <c r="N178" s="247"/>
      <c r="O178" s="141"/>
      <c r="P178" s="77"/>
      <c r="Q178" s="6"/>
      <c r="R178" s="6"/>
    </row>
    <row r="179" spans="1:18" ht="14.1" customHeight="1" x14ac:dyDescent="0.2">
      <c r="A179" s="388"/>
      <c r="B179" s="388"/>
      <c r="C179" s="395" t="s">
        <v>72</v>
      </c>
      <c r="D179" s="364">
        <f>SUM(D171:D177)</f>
        <v>1189109400</v>
      </c>
      <c r="E179" s="364">
        <f>SUM(E171:E177)</f>
        <v>0</v>
      </c>
      <c r="F179" s="364">
        <f>SUM(F171:F177)</f>
        <v>1189109400</v>
      </c>
      <c r="G179" s="364">
        <f>SUM(G171:G177)</f>
        <v>538626820</v>
      </c>
      <c r="H179" s="364">
        <f>SUM(H171:H177)</f>
        <v>128222400</v>
      </c>
      <c r="I179" s="364">
        <f>G179+H179</f>
        <v>666849220</v>
      </c>
      <c r="J179" s="368">
        <f>+I179/F179</f>
        <v>0.5607971983065646</v>
      </c>
      <c r="K179" s="364">
        <f>SUM(K171:K177)</f>
        <v>538616720</v>
      </c>
      <c r="L179" s="364">
        <f>SUM(L171:L177)</f>
        <v>128222450</v>
      </c>
      <c r="M179" s="364">
        <f>+K179+L179</f>
        <v>666839170</v>
      </c>
      <c r="N179" s="366">
        <f>+M179/F179</f>
        <v>0.56078874660313005</v>
      </c>
      <c r="O179" s="364">
        <f>+F179-M179</f>
        <v>522270230</v>
      </c>
      <c r="P179" s="77"/>
      <c r="Q179" s="6" t="str">
        <f t="shared" ref="Q179:Q226" si="100">IF(M179&lt;=I179,"OKE","Salah")</f>
        <v>OKE</v>
      </c>
      <c r="R179" s="6"/>
    </row>
    <row r="180" spans="1:18" ht="14.1" customHeight="1" x14ac:dyDescent="0.2">
      <c r="A180" s="389"/>
      <c r="B180" s="389"/>
      <c r="C180" s="396"/>
      <c r="D180" s="365"/>
      <c r="E180" s="365"/>
      <c r="F180" s="365"/>
      <c r="G180" s="365"/>
      <c r="H180" s="365"/>
      <c r="I180" s="396"/>
      <c r="J180" s="369"/>
      <c r="K180" s="365"/>
      <c r="L180" s="365"/>
      <c r="M180" s="365"/>
      <c r="N180" s="367"/>
      <c r="O180" s="365"/>
      <c r="P180" s="77"/>
      <c r="Q180" s="6" t="str">
        <f t="shared" si="100"/>
        <v>OKE</v>
      </c>
      <c r="R180" s="6"/>
    </row>
    <row r="181" spans="1:18" ht="14.45" customHeight="1" x14ac:dyDescent="0.2">
      <c r="A181" s="74"/>
      <c r="B181" s="76"/>
      <c r="C181" s="76"/>
      <c r="D181" s="8"/>
      <c r="E181" s="8"/>
      <c r="F181" s="8"/>
      <c r="G181" s="76"/>
      <c r="H181" s="82"/>
      <c r="I181" s="76"/>
      <c r="J181" s="86"/>
      <c r="K181" s="76"/>
      <c r="L181" s="76"/>
      <c r="M181" s="76"/>
      <c r="N181" s="248"/>
      <c r="O181" s="241"/>
      <c r="P181" s="77"/>
      <c r="Q181" s="6"/>
      <c r="R181" s="6"/>
    </row>
    <row r="182" spans="1:18" ht="17.100000000000001" customHeight="1" x14ac:dyDescent="0.2">
      <c r="A182" s="74"/>
      <c r="B182" s="76"/>
      <c r="C182" s="244" t="s">
        <v>73</v>
      </c>
      <c r="D182" s="8"/>
      <c r="E182" s="8"/>
      <c r="F182" s="8"/>
      <c r="G182" s="76"/>
      <c r="H182" s="82"/>
      <c r="I182" s="76"/>
      <c r="J182" s="86"/>
      <c r="K182" s="76"/>
      <c r="L182" s="76"/>
      <c r="M182" s="76"/>
      <c r="N182" s="86"/>
      <c r="O182" s="76"/>
      <c r="P182" s="77"/>
      <c r="Q182" s="6"/>
      <c r="R182" s="6"/>
    </row>
    <row r="183" spans="1:18" ht="14.25" customHeight="1" x14ac:dyDescent="0.2">
      <c r="A183" s="74"/>
      <c r="B183" s="76"/>
      <c r="C183" s="76"/>
      <c r="D183" s="8"/>
      <c r="E183" s="8"/>
      <c r="F183" s="8"/>
      <c r="G183" s="76"/>
      <c r="H183" s="82"/>
      <c r="I183" s="76"/>
      <c r="J183" s="86"/>
      <c r="K183" s="76"/>
      <c r="L183" s="76"/>
      <c r="M183" s="76"/>
      <c r="N183" s="86"/>
      <c r="O183" s="76"/>
      <c r="P183" s="77"/>
      <c r="Q183" s="6"/>
      <c r="R183" s="6"/>
    </row>
    <row r="184" spans="1:18" ht="27" customHeight="1" x14ac:dyDescent="0.2">
      <c r="A184" s="7"/>
      <c r="B184" s="206" t="s">
        <v>154</v>
      </c>
      <c r="C184" s="201" t="s">
        <v>153</v>
      </c>
      <c r="D184" s="10">
        <f>+D192+D200+D220+D228+D244+D186+D238</f>
        <v>12324425000</v>
      </c>
      <c r="E184" s="10">
        <f>+E192+E200+E220+E228+E244</f>
        <v>0</v>
      </c>
      <c r="F184" s="10">
        <f>+D184+E184</f>
        <v>12324425000</v>
      </c>
      <c r="G184" s="312">
        <f>+G192+G200+G220+G228+G238+G244</f>
        <v>7047662413</v>
      </c>
      <c r="H184" s="10">
        <f>+H192+H200+H220+H228+H238+H244</f>
        <v>1158376417</v>
      </c>
      <c r="I184" s="10">
        <f>+G184+H184</f>
        <v>8206038830</v>
      </c>
      <c r="J184" s="168">
        <f>+I184/F184</f>
        <v>0.66583543086188601</v>
      </c>
      <c r="K184" s="312">
        <f>+K186+K192+K200+K214+K220+K228+K238+K244</f>
        <v>7167683880</v>
      </c>
      <c r="L184" s="312">
        <f>+L186+L192+L200+L214+L220+L228+L238+L244</f>
        <v>1160168169</v>
      </c>
      <c r="M184" s="10">
        <f>+K184+L184</f>
        <v>8327852049</v>
      </c>
      <c r="N184" s="169">
        <f>+M184/F184</f>
        <v>0.675719317452944</v>
      </c>
      <c r="O184" s="10">
        <f>+F184-M184</f>
        <v>3996572951</v>
      </c>
      <c r="P184" s="77"/>
      <c r="Q184" s="6" t="str">
        <f t="shared" ref="Q184:Q192" si="101">IF(M184&lt;=I184,"OKE","Salah")</f>
        <v>Salah</v>
      </c>
      <c r="R184" s="6"/>
    </row>
    <row r="185" spans="1:18" ht="15" customHeight="1" x14ac:dyDescent="0.2">
      <c r="A185" s="7"/>
      <c r="B185" s="206"/>
      <c r="C185" s="305"/>
      <c r="D185" s="10"/>
      <c r="E185" s="296"/>
      <c r="F185" s="10"/>
      <c r="G185" s="10"/>
      <c r="H185" s="10"/>
      <c r="I185" s="10"/>
      <c r="J185" s="168"/>
      <c r="K185" s="10"/>
      <c r="L185" s="10"/>
      <c r="M185" s="10"/>
      <c r="N185" s="169"/>
      <c r="O185" s="10"/>
      <c r="P185" s="77"/>
      <c r="Q185" s="6"/>
      <c r="R185" s="6"/>
    </row>
    <row r="186" spans="1:18" ht="29.25" customHeight="1" x14ac:dyDescent="0.2">
      <c r="A186" s="74"/>
      <c r="B186" s="214" t="s">
        <v>199</v>
      </c>
      <c r="C186" s="301" t="s">
        <v>198</v>
      </c>
      <c r="D186" s="178">
        <f>+D188</f>
        <v>144000000</v>
      </c>
      <c r="E186" s="14"/>
      <c r="F186" s="178">
        <f>E186+D186</f>
        <v>144000000</v>
      </c>
      <c r="G186" s="178">
        <f>+G188</f>
        <v>136000000</v>
      </c>
      <c r="H186" s="178">
        <f>+H188</f>
        <v>0</v>
      </c>
      <c r="I186" s="15">
        <f>+G186+H186</f>
        <v>136000000</v>
      </c>
      <c r="J186" s="143">
        <f>+I186/F186</f>
        <v>0.94444444444444442</v>
      </c>
      <c r="K186" s="178">
        <f t="shared" ref="K186:L186" si="102">+K188</f>
        <v>136000000</v>
      </c>
      <c r="L186" s="178">
        <f t="shared" si="102"/>
        <v>0</v>
      </c>
      <c r="M186" s="180">
        <f>+K186+L186</f>
        <v>136000000</v>
      </c>
      <c r="N186" s="171">
        <f>+M186/D186</f>
        <v>0.94444444444444442</v>
      </c>
      <c r="O186" s="15">
        <f>+F186-M186</f>
        <v>8000000</v>
      </c>
      <c r="P186" s="83"/>
      <c r="Q186" s="6" t="str">
        <f t="shared" ref="Q186" si="103">IF(M186&lt;=I186,"OKE","Salah")</f>
        <v>OKE</v>
      </c>
      <c r="R186" s="6"/>
    </row>
    <row r="187" spans="1:18" ht="15" customHeight="1" x14ac:dyDescent="0.2">
      <c r="A187" s="74"/>
      <c r="B187" s="74"/>
      <c r="C187" s="76"/>
      <c r="D187" s="15"/>
      <c r="E187" s="15"/>
      <c r="F187" s="15"/>
      <c r="G187" s="80"/>
      <c r="H187" s="79"/>
      <c r="I187" s="80"/>
      <c r="J187" s="86"/>
      <c r="K187" s="80"/>
      <c r="L187" s="76"/>
      <c r="M187" s="76"/>
      <c r="N187" s="86"/>
      <c r="O187" s="10"/>
      <c r="P187" s="83"/>
      <c r="Q187" s="6"/>
      <c r="R187" s="6"/>
    </row>
    <row r="188" spans="1:18" ht="21" customHeight="1" x14ac:dyDescent="0.2">
      <c r="A188" s="74">
        <v>1</v>
      </c>
      <c r="B188" s="29" t="s">
        <v>201</v>
      </c>
      <c r="C188" s="27" t="s">
        <v>200</v>
      </c>
      <c r="D188" s="13">
        <v>144000000</v>
      </c>
      <c r="E188" s="14"/>
      <c r="F188" s="13">
        <f>E188+D188</f>
        <v>144000000</v>
      </c>
      <c r="G188" s="80">
        <f>+juli!I188</f>
        <v>136000000</v>
      </c>
      <c r="H188" s="79">
        <v>0</v>
      </c>
      <c r="I188" s="15">
        <f>+G188+H188</f>
        <v>136000000</v>
      </c>
      <c r="J188" s="143">
        <f>+I188/F188</f>
        <v>0.94444444444444442</v>
      </c>
      <c r="K188" s="80">
        <f>+juli!M188</f>
        <v>136000000</v>
      </c>
      <c r="L188" s="80">
        <v>0</v>
      </c>
      <c r="M188" s="80">
        <f>+K188+L188</f>
        <v>136000000</v>
      </c>
      <c r="N188" s="171">
        <f>+M188/D188</f>
        <v>0.94444444444444442</v>
      </c>
      <c r="O188" s="15">
        <f t="shared" ref="O188" si="104">+D188-M188</f>
        <v>8000000</v>
      </c>
      <c r="P188" s="83"/>
      <c r="Q188" s="6" t="str">
        <f t="shared" ref="Q188" si="105">IF(M188&lt;=I188,"OKE","Salah")</f>
        <v>OKE</v>
      </c>
      <c r="R188" s="6"/>
    </row>
    <row r="189" spans="1:18" ht="15" customHeight="1" x14ac:dyDescent="0.2">
      <c r="A189" s="74"/>
      <c r="B189" s="29"/>
      <c r="C189" s="27"/>
      <c r="D189" s="13"/>
      <c r="E189" s="14"/>
      <c r="F189" s="13"/>
      <c r="G189" s="78"/>
      <c r="H189" s="79"/>
      <c r="I189" s="15"/>
      <c r="J189" s="143"/>
      <c r="K189" s="78"/>
      <c r="L189" s="80"/>
      <c r="M189" s="80"/>
      <c r="N189" s="171"/>
      <c r="O189" s="15"/>
      <c r="P189" s="83"/>
      <c r="Q189" s="6"/>
      <c r="R189" s="6"/>
    </row>
    <row r="190" spans="1:18" ht="21" customHeight="1" x14ac:dyDescent="0.2">
      <c r="A190" s="139"/>
      <c r="B190" s="222"/>
      <c r="C190" s="223" t="s">
        <v>171</v>
      </c>
      <c r="D190" s="224">
        <f>+D188</f>
        <v>144000000</v>
      </c>
      <c r="E190" s="225"/>
      <c r="F190" s="224">
        <f>+F188</f>
        <v>144000000</v>
      </c>
      <c r="G190" s="224">
        <f>+G188</f>
        <v>136000000</v>
      </c>
      <c r="H190" s="224">
        <f>+H188</f>
        <v>0</v>
      </c>
      <c r="I190" s="141">
        <f>+G190+H190</f>
        <v>136000000</v>
      </c>
      <c r="J190" s="176">
        <f>+I190/F190</f>
        <v>0.94444444444444442</v>
      </c>
      <c r="K190" s="224">
        <f t="shared" ref="K190:L190" si="106">+K188</f>
        <v>136000000</v>
      </c>
      <c r="L190" s="224">
        <f t="shared" si="106"/>
        <v>0</v>
      </c>
      <c r="M190" s="232">
        <f>+K190+L190</f>
        <v>136000000</v>
      </c>
      <c r="N190" s="173"/>
      <c r="O190" s="141"/>
      <c r="P190" s="208"/>
      <c r="Q190" s="6"/>
      <c r="R190" s="6"/>
    </row>
    <row r="191" spans="1:18" ht="15" customHeight="1" x14ac:dyDescent="0.2">
      <c r="A191" s="7"/>
      <c r="B191" s="206"/>
      <c r="C191" s="305"/>
      <c r="D191" s="10"/>
      <c r="E191" s="296"/>
      <c r="F191" s="10"/>
      <c r="G191" s="10"/>
      <c r="H191" s="10"/>
      <c r="I191" s="10"/>
      <c r="J191" s="168"/>
      <c r="K191" s="10"/>
      <c r="L191" s="10"/>
      <c r="M191" s="10"/>
      <c r="N191" s="169"/>
      <c r="O191" s="10"/>
      <c r="P191" s="77"/>
      <c r="Q191" s="6"/>
      <c r="R191" s="6"/>
    </row>
    <row r="192" spans="1:18" ht="15" customHeight="1" x14ac:dyDescent="0.2">
      <c r="A192" s="212"/>
      <c r="B192" s="7" t="s">
        <v>160</v>
      </c>
      <c r="C192" s="208" t="s">
        <v>315</v>
      </c>
      <c r="D192" s="178">
        <f>+D194+D196</f>
        <v>164975000</v>
      </c>
      <c r="E192" s="221"/>
      <c r="F192" s="178">
        <f>+D192+E192</f>
        <v>164975000</v>
      </c>
      <c r="G192" s="178">
        <f t="shared" ref="G192:H192" si="107">+G194+G196</f>
        <v>128655000</v>
      </c>
      <c r="H192" s="178">
        <f t="shared" si="107"/>
        <v>0</v>
      </c>
      <c r="I192" s="10">
        <f>+G192+H192</f>
        <v>128655000</v>
      </c>
      <c r="J192" s="168">
        <f>+I192/F192</f>
        <v>0.77984543112592819</v>
      </c>
      <c r="K192" s="178">
        <f t="shared" ref="K192:L192" si="108">+K194+K196</f>
        <v>128655000</v>
      </c>
      <c r="L192" s="178">
        <f t="shared" si="108"/>
        <v>0</v>
      </c>
      <c r="M192" s="10">
        <f>+K192+L192</f>
        <v>128655000</v>
      </c>
      <c r="N192" s="169">
        <f>+M192/F192</f>
        <v>0.77984543112592819</v>
      </c>
      <c r="O192" s="10">
        <f>+F192-M192</f>
        <v>36320000</v>
      </c>
      <c r="P192" s="77"/>
      <c r="Q192" s="6" t="str">
        <f t="shared" si="101"/>
        <v>OKE</v>
      </c>
      <c r="R192" s="6"/>
    </row>
    <row r="193" spans="1:19" ht="15" customHeight="1" x14ac:dyDescent="0.2">
      <c r="A193" s="74"/>
      <c r="B193" s="74"/>
      <c r="C193" s="76"/>
      <c r="D193" s="15"/>
      <c r="E193" s="17"/>
      <c r="F193" s="15"/>
      <c r="G193" s="78"/>
      <c r="H193" s="79"/>
      <c r="I193" s="80"/>
      <c r="J193" s="86"/>
      <c r="K193" s="78"/>
      <c r="L193" s="76"/>
      <c r="M193" s="76"/>
      <c r="N193" s="86"/>
      <c r="O193" s="10"/>
      <c r="P193" s="77"/>
      <c r="Q193" s="6"/>
      <c r="R193" s="6"/>
    </row>
    <row r="194" spans="1:19" ht="26.25" customHeight="1" x14ac:dyDescent="0.2">
      <c r="A194" s="74">
        <v>2</v>
      </c>
      <c r="B194" s="28" t="s">
        <v>164</v>
      </c>
      <c r="C194" s="304" t="s">
        <v>316</v>
      </c>
      <c r="D194" s="13">
        <v>139975000</v>
      </c>
      <c r="E194" s="14"/>
      <c r="F194" s="13">
        <f>+D194+E194</f>
        <v>139975000</v>
      </c>
      <c r="G194" s="80">
        <f>+juli!I194</f>
        <v>126405000</v>
      </c>
      <c r="H194" s="79">
        <v>0</v>
      </c>
      <c r="I194" s="15">
        <f>+G194+H194</f>
        <v>126405000</v>
      </c>
      <c r="J194" s="143">
        <f>+I194/F194</f>
        <v>0.90305411680657255</v>
      </c>
      <c r="K194" s="80">
        <f>+juli!M194</f>
        <v>126405000</v>
      </c>
      <c r="L194" s="80">
        <v>0</v>
      </c>
      <c r="M194" s="80">
        <f>+K194+L194</f>
        <v>126405000</v>
      </c>
      <c r="N194" s="171">
        <f>+M194/F194</f>
        <v>0.90305411680657255</v>
      </c>
      <c r="O194" s="15">
        <f>+F194-M194</f>
        <v>13570000</v>
      </c>
      <c r="P194" s="77"/>
      <c r="Q194" s="6" t="str">
        <f t="shared" ref="Q194" si="109">IF(M194&lt;=I194,"OKE","Salah")</f>
        <v>OKE</v>
      </c>
      <c r="R194" s="6"/>
    </row>
    <row r="195" spans="1:19" ht="15" customHeight="1" x14ac:dyDescent="0.2">
      <c r="A195" s="74"/>
      <c r="B195" s="74"/>
      <c r="C195" s="83"/>
      <c r="D195" s="15"/>
      <c r="E195" s="17"/>
      <c r="F195" s="15"/>
      <c r="G195" s="78"/>
      <c r="H195" s="79"/>
      <c r="I195" s="80"/>
      <c r="J195" s="86"/>
      <c r="K195" s="78"/>
      <c r="L195" s="76"/>
      <c r="M195" s="76"/>
      <c r="N195" s="86"/>
      <c r="O195" s="10"/>
      <c r="P195" s="77"/>
      <c r="Q195" s="6"/>
      <c r="R195" s="6"/>
    </row>
    <row r="196" spans="1:19" ht="26.25" customHeight="1" x14ac:dyDescent="0.2">
      <c r="A196" s="74">
        <v>3</v>
      </c>
      <c r="B196" s="28" t="s">
        <v>165</v>
      </c>
      <c r="C196" s="304" t="s">
        <v>317</v>
      </c>
      <c r="D196" s="13">
        <v>25000000</v>
      </c>
      <c r="E196" s="14"/>
      <c r="F196" s="13">
        <f>+D196+E196</f>
        <v>25000000</v>
      </c>
      <c r="G196" s="80">
        <f>+juli!I196</f>
        <v>2250000</v>
      </c>
      <c r="H196" s="79">
        <v>0</v>
      </c>
      <c r="I196" s="15">
        <f>+G196+H196</f>
        <v>2250000</v>
      </c>
      <c r="J196" s="143">
        <f>+I196/F196</f>
        <v>0.09</v>
      </c>
      <c r="K196" s="80">
        <f>+juli!M196</f>
        <v>2250000</v>
      </c>
      <c r="L196" s="80">
        <v>0</v>
      </c>
      <c r="M196" s="80">
        <f>+K196+L196</f>
        <v>2250000</v>
      </c>
      <c r="N196" s="171">
        <f>+M196/F196</f>
        <v>0.09</v>
      </c>
      <c r="O196" s="15">
        <f>+F196-M196</f>
        <v>22750000</v>
      </c>
      <c r="P196" s="77"/>
      <c r="Q196" s="6" t="str">
        <f t="shared" ref="Q196" si="110">IF(M196&lt;=I196,"OKE","Salah")</f>
        <v>OKE</v>
      </c>
      <c r="R196" s="6"/>
    </row>
    <row r="197" spans="1:19" ht="15" customHeight="1" x14ac:dyDescent="0.2">
      <c r="A197" s="74"/>
      <c r="B197" s="28"/>
      <c r="C197" s="304"/>
      <c r="D197" s="13"/>
      <c r="E197" s="14"/>
      <c r="F197" s="13"/>
      <c r="G197" s="78"/>
      <c r="H197" s="79"/>
      <c r="I197" s="15"/>
      <c r="J197" s="143"/>
      <c r="K197" s="78"/>
      <c r="L197" s="80"/>
      <c r="M197" s="80"/>
      <c r="N197" s="171"/>
      <c r="O197" s="15"/>
      <c r="P197" s="77"/>
      <c r="Q197" s="6"/>
      <c r="R197" s="6"/>
    </row>
    <row r="198" spans="1:19" ht="24" customHeight="1" x14ac:dyDescent="0.2">
      <c r="A198" s="81"/>
      <c r="B198" s="81"/>
      <c r="C198" s="23" t="s">
        <v>172</v>
      </c>
      <c r="D198" s="24">
        <f>+D194+D196</f>
        <v>164975000</v>
      </c>
      <c r="E198" s="24">
        <f t="shared" ref="E198" si="111">+E194+E196</f>
        <v>0</v>
      </c>
      <c r="F198" s="24">
        <f>+D198+E198</f>
        <v>164975000</v>
      </c>
      <c r="G198" s="24">
        <f t="shared" ref="G198:H198" si="112">+G194+G196</f>
        <v>128655000</v>
      </c>
      <c r="H198" s="24">
        <f t="shared" si="112"/>
        <v>0</v>
      </c>
      <c r="I198" s="24">
        <f>+G198+H198</f>
        <v>128655000</v>
      </c>
      <c r="J198" s="175">
        <f>+I198/F198</f>
        <v>0.77984543112592819</v>
      </c>
      <c r="K198" s="24">
        <f t="shared" ref="K198:L198" si="113">+K194+K196</f>
        <v>128655000</v>
      </c>
      <c r="L198" s="24">
        <f t="shared" si="113"/>
        <v>0</v>
      </c>
      <c r="M198" s="24">
        <f>+K198+L198</f>
        <v>128655000</v>
      </c>
      <c r="N198" s="172">
        <f>+M198/F198</f>
        <v>0.77984543112592819</v>
      </c>
      <c r="O198" s="24">
        <f>+F198-M198</f>
        <v>36320000</v>
      </c>
      <c r="P198" s="77"/>
      <c r="Q198" s="6" t="str">
        <f t="shared" ref="Q198" si="114">IF(M198&lt;=I198,"OKE","Salah")</f>
        <v>OKE</v>
      </c>
      <c r="R198" s="6"/>
    </row>
    <row r="199" spans="1:19" ht="14.1" customHeight="1" x14ac:dyDescent="0.2">
      <c r="A199" s="74"/>
      <c r="B199" s="28"/>
      <c r="C199" s="83"/>
      <c r="D199" s="13"/>
      <c r="E199" s="14"/>
      <c r="F199" s="183"/>
      <c r="G199" s="78"/>
      <c r="H199" s="79"/>
      <c r="I199" s="15"/>
      <c r="J199" s="143"/>
      <c r="K199" s="78"/>
      <c r="L199" s="80"/>
      <c r="M199" s="80"/>
      <c r="N199" s="171"/>
      <c r="O199" s="15"/>
      <c r="P199" s="77"/>
      <c r="Q199" s="6"/>
      <c r="R199" s="6"/>
    </row>
    <row r="200" spans="1:19" s="77" customFormat="1" ht="14.1" customHeight="1" x14ac:dyDescent="0.2">
      <c r="A200" s="212"/>
      <c r="B200" s="7" t="s">
        <v>160</v>
      </c>
      <c r="C200" s="208" t="s">
        <v>159</v>
      </c>
      <c r="D200" s="178">
        <f>SUM(D202:D210)</f>
        <v>5266450000</v>
      </c>
      <c r="E200" s="221"/>
      <c r="F200" s="178">
        <f>+D200+E200</f>
        <v>5266450000</v>
      </c>
      <c r="G200" s="314">
        <f>SUM(G202:G210)</f>
        <v>3686119250</v>
      </c>
      <c r="H200" s="178">
        <f>SUM(H202:H210)</f>
        <v>611213000</v>
      </c>
      <c r="I200" s="10">
        <f>+G200+H200</f>
        <v>4297332250</v>
      </c>
      <c r="J200" s="168">
        <f>+I200/F200</f>
        <v>0.81598273030219592</v>
      </c>
      <c r="K200" s="314">
        <f>SUM(K202:K210)</f>
        <v>3686047250</v>
      </c>
      <c r="L200" s="178">
        <f>SUM(L202:L210)</f>
        <v>611213000</v>
      </c>
      <c r="M200" s="10">
        <f>+K200+L200</f>
        <v>4297260250</v>
      </c>
      <c r="N200" s="169">
        <f>+M200/F200</f>
        <v>0.81596905885368698</v>
      </c>
      <c r="O200" s="10">
        <f>+F200-M200</f>
        <v>969189750</v>
      </c>
      <c r="Q200" s="6" t="str">
        <f t="shared" si="100"/>
        <v>OKE</v>
      </c>
      <c r="R200" s="6"/>
      <c r="S200" s="69"/>
    </row>
    <row r="201" spans="1:19" s="77" customFormat="1" ht="14.1" customHeight="1" x14ac:dyDescent="0.2">
      <c r="A201" s="74"/>
      <c r="B201" s="74"/>
      <c r="C201" s="76"/>
      <c r="D201" s="15"/>
      <c r="E201" s="17"/>
      <c r="F201" s="15"/>
      <c r="G201" s="78"/>
      <c r="H201" s="79"/>
      <c r="I201" s="80"/>
      <c r="J201" s="86"/>
      <c r="K201" s="78"/>
      <c r="L201" s="76"/>
      <c r="M201" s="76"/>
      <c r="N201" s="86"/>
      <c r="O201" s="10"/>
      <c r="Q201" s="6"/>
      <c r="R201" s="6"/>
      <c r="S201" s="69"/>
    </row>
    <row r="202" spans="1:19" s="77" customFormat="1" ht="15" customHeight="1" x14ac:dyDescent="0.2">
      <c r="A202" s="74">
        <v>4</v>
      </c>
      <c r="B202" s="28" t="s">
        <v>164</v>
      </c>
      <c r="C202" s="83" t="s">
        <v>161</v>
      </c>
      <c r="D202" s="13">
        <v>1660000000</v>
      </c>
      <c r="E202" s="14"/>
      <c r="F202" s="13">
        <f>+D202+E202</f>
        <v>1660000000</v>
      </c>
      <c r="G202" s="315">
        <f>+juli!I202</f>
        <v>1198154500</v>
      </c>
      <c r="H202" s="80">
        <f>93736000+72133400</f>
        <v>165869400</v>
      </c>
      <c r="I202" s="15">
        <f>+G202+H202</f>
        <v>1364023900</v>
      </c>
      <c r="J202" s="143">
        <f>+I202/F202</f>
        <v>0.82170114457831323</v>
      </c>
      <c r="K202" s="315">
        <f>+juli!M202</f>
        <v>1198154500</v>
      </c>
      <c r="L202" s="80">
        <f>93736000+72133400</f>
        <v>165869400</v>
      </c>
      <c r="M202" s="80">
        <f>+K202+L202</f>
        <v>1364023900</v>
      </c>
      <c r="N202" s="171">
        <f>+M202/F202</f>
        <v>0.82170114457831323</v>
      </c>
      <c r="O202" s="15">
        <f>+F202-M202</f>
        <v>295976100</v>
      </c>
      <c r="Q202" s="6" t="str">
        <f t="shared" si="100"/>
        <v>OKE</v>
      </c>
      <c r="R202" s="6"/>
      <c r="S202" s="68"/>
    </row>
    <row r="203" spans="1:19" s="77" customFormat="1" ht="14.1" customHeight="1" x14ac:dyDescent="0.2">
      <c r="A203" s="74"/>
      <c r="B203" s="74"/>
      <c r="C203" s="83"/>
      <c r="D203" s="15"/>
      <c r="E203" s="17"/>
      <c r="F203" s="15"/>
      <c r="G203" s="78"/>
      <c r="H203" s="79"/>
      <c r="I203" s="15">
        <f>+G203+H203</f>
        <v>0</v>
      </c>
      <c r="J203" s="86"/>
      <c r="K203" s="78"/>
      <c r="L203" s="76"/>
      <c r="M203" s="76"/>
      <c r="N203" s="86"/>
      <c r="O203" s="10"/>
      <c r="Q203" s="6"/>
      <c r="R203" s="6"/>
      <c r="S203" s="68"/>
    </row>
    <row r="204" spans="1:19" s="77" customFormat="1" ht="15.75" customHeight="1" x14ac:dyDescent="0.2">
      <c r="A204" s="74">
        <v>5</v>
      </c>
      <c r="B204" s="28" t="s">
        <v>165</v>
      </c>
      <c r="C204" s="83" t="s">
        <v>162</v>
      </c>
      <c r="D204" s="13">
        <v>575000000</v>
      </c>
      <c r="E204" s="14"/>
      <c r="F204" s="13">
        <f>+D204+E204</f>
        <v>575000000</v>
      </c>
      <c r="G204" s="80">
        <f>+juli!I204</f>
        <v>217969000</v>
      </c>
      <c r="H204" s="79">
        <f>17440000+88890500</f>
        <v>106330500</v>
      </c>
      <c r="I204" s="15">
        <f>+G204+H204</f>
        <v>324299500</v>
      </c>
      <c r="J204" s="143">
        <f>+I204/F204</f>
        <v>0.56399913043478256</v>
      </c>
      <c r="K204" s="80">
        <f>+juli!M204</f>
        <v>217897000</v>
      </c>
      <c r="L204" s="80">
        <f>17440000+88890500</f>
        <v>106330500</v>
      </c>
      <c r="M204" s="80">
        <f>+K204+L204</f>
        <v>324227500</v>
      </c>
      <c r="N204" s="171">
        <f>+M204/F204</f>
        <v>0.56387391304347823</v>
      </c>
      <c r="O204" s="15">
        <f>+F204-M204</f>
        <v>250772500</v>
      </c>
      <c r="Q204" s="6" t="str">
        <f t="shared" si="100"/>
        <v>OKE</v>
      </c>
      <c r="R204" s="6"/>
      <c r="S204" s="69"/>
    </row>
    <row r="205" spans="1:19" s="77" customFormat="1" ht="14.1" customHeight="1" x14ac:dyDescent="0.2">
      <c r="A205" s="74"/>
      <c r="B205" s="74"/>
      <c r="C205" s="76"/>
      <c r="D205" s="15"/>
      <c r="E205" s="17"/>
      <c r="F205" s="15"/>
      <c r="G205" s="78"/>
      <c r="H205" s="79"/>
      <c r="I205" s="80"/>
      <c r="J205" s="86"/>
      <c r="K205" s="78"/>
      <c r="L205" s="76"/>
      <c r="M205" s="76"/>
      <c r="N205" s="86"/>
      <c r="O205" s="10"/>
      <c r="Q205" s="6"/>
      <c r="R205" s="6"/>
      <c r="S205" s="68"/>
    </row>
    <row r="206" spans="1:19" s="77" customFormat="1" ht="17.25" customHeight="1" x14ac:dyDescent="0.2">
      <c r="A206" s="74">
        <v>6</v>
      </c>
      <c r="B206" s="28" t="s">
        <v>166</v>
      </c>
      <c r="C206" s="83" t="s">
        <v>163</v>
      </c>
      <c r="D206" s="13">
        <v>270000000</v>
      </c>
      <c r="E206" s="14"/>
      <c r="F206" s="13">
        <f>+D206+E206</f>
        <v>270000000</v>
      </c>
      <c r="G206" s="80">
        <f>+juli!I206</f>
        <v>98713850</v>
      </c>
      <c r="H206" s="79">
        <v>18881400</v>
      </c>
      <c r="I206" s="15">
        <f>+G206+H206</f>
        <v>117595250</v>
      </c>
      <c r="J206" s="143">
        <f>+I206/F206</f>
        <v>0.43553796296296299</v>
      </c>
      <c r="K206" s="80">
        <f>+juli!M206</f>
        <v>98713850</v>
      </c>
      <c r="L206" s="80">
        <v>18881400</v>
      </c>
      <c r="M206" s="80">
        <f>+K206+L206</f>
        <v>117595250</v>
      </c>
      <c r="N206" s="171">
        <f>+M206/F206</f>
        <v>0.43553796296296299</v>
      </c>
      <c r="O206" s="15">
        <f>+F206-M206</f>
        <v>152404750</v>
      </c>
      <c r="Q206" s="6" t="str">
        <f t="shared" si="100"/>
        <v>OKE</v>
      </c>
      <c r="R206" s="6"/>
      <c r="S206" s="68"/>
    </row>
    <row r="207" spans="1:19" s="77" customFormat="1" ht="14.1" customHeight="1" x14ac:dyDescent="0.2">
      <c r="A207" s="74"/>
      <c r="B207" s="28"/>
      <c r="C207" s="83"/>
      <c r="D207" s="13"/>
      <c r="E207" s="14"/>
      <c r="F207" s="13"/>
      <c r="G207" s="78"/>
      <c r="H207" s="79"/>
      <c r="I207" s="15"/>
      <c r="J207" s="143"/>
      <c r="K207" s="78"/>
      <c r="L207" s="80"/>
      <c r="M207" s="80"/>
      <c r="N207" s="171"/>
      <c r="O207" s="15"/>
      <c r="Q207" s="6"/>
      <c r="R207" s="6"/>
      <c r="S207" s="68"/>
    </row>
    <row r="208" spans="1:19" s="77" customFormat="1" ht="17.25" customHeight="1" x14ac:dyDescent="0.2">
      <c r="A208" s="74">
        <v>7</v>
      </c>
      <c r="B208" s="28" t="s">
        <v>168</v>
      </c>
      <c r="C208" s="83" t="s">
        <v>167</v>
      </c>
      <c r="D208" s="13">
        <v>1800000000</v>
      </c>
      <c r="E208" s="14"/>
      <c r="F208" s="13">
        <f>+D208+E208</f>
        <v>1800000000</v>
      </c>
      <c r="G208" s="315">
        <f>+juli!I208</f>
        <v>1392850500</v>
      </c>
      <c r="H208" s="79">
        <f>49625000+45525000+29125000+36001000</f>
        <v>160276000</v>
      </c>
      <c r="I208" s="15">
        <f>+G208+H208</f>
        <v>1553126500</v>
      </c>
      <c r="J208" s="143">
        <f>+I208/F208</f>
        <v>0.86284805555555555</v>
      </c>
      <c r="K208" s="315">
        <f>+juli!M208</f>
        <v>1392850500</v>
      </c>
      <c r="L208" s="80">
        <f>49625000+45525000+29125000+36001000</f>
        <v>160276000</v>
      </c>
      <c r="M208" s="80">
        <f>+K208+L208</f>
        <v>1553126500</v>
      </c>
      <c r="N208" s="171">
        <f>+M208/F208</f>
        <v>0.86284805555555555</v>
      </c>
      <c r="O208" s="15">
        <f>+F208-M208</f>
        <v>246873500</v>
      </c>
      <c r="Q208" s="6" t="str">
        <f t="shared" si="100"/>
        <v>OKE</v>
      </c>
      <c r="R208" s="6"/>
      <c r="S208" s="68"/>
    </row>
    <row r="209" spans="1:19" s="77" customFormat="1" ht="14.1" customHeight="1" x14ac:dyDescent="0.2">
      <c r="A209" s="74"/>
      <c r="B209" s="28"/>
      <c r="C209" s="83"/>
      <c r="D209" s="13"/>
      <c r="E209" s="14"/>
      <c r="F209" s="13"/>
      <c r="G209" s="78"/>
      <c r="H209" s="79"/>
      <c r="I209" s="15"/>
      <c r="J209" s="143"/>
      <c r="K209" s="78"/>
      <c r="L209" s="80"/>
      <c r="M209" s="80"/>
      <c r="N209" s="171"/>
      <c r="O209" s="15"/>
      <c r="Q209" s="6"/>
      <c r="R209" s="6"/>
      <c r="S209" s="68"/>
    </row>
    <row r="210" spans="1:19" s="77" customFormat="1" ht="31.5" customHeight="1" x14ac:dyDescent="0.2">
      <c r="A210" s="74">
        <v>8</v>
      </c>
      <c r="B210" s="28" t="s">
        <v>170</v>
      </c>
      <c r="C210" s="304" t="s">
        <v>169</v>
      </c>
      <c r="D210" s="13">
        <v>961450000</v>
      </c>
      <c r="E210" s="14"/>
      <c r="F210" s="13">
        <f>+D210+E210</f>
        <v>961450000</v>
      </c>
      <c r="G210" s="80">
        <f>+juli!I210</f>
        <v>778431400</v>
      </c>
      <c r="H210" s="79">
        <v>159855700</v>
      </c>
      <c r="I210" s="15">
        <f>+G210+H210</f>
        <v>938287100</v>
      </c>
      <c r="J210" s="143">
        <f>+I210/F210</f>
        <v>0.97590836756981647</v>
      </c>
      <c r="K210" s="80">
        <f>+juli!M210</f>
        <v>778431400</v>
      </c>
      <c r="L210" s="80">
        <v>159855700</v>
      </c>
      <c r="M210" s="80">
        <f>+K210+L210</f>
        <v>938287100</v>
      </c>
      <c r="N210" s="171">
        <f>+M210/F210</f>
        <v>0.97590836756981647</v>
      </c>
      <c r="O210" s="15">
        <f>+F210-M210</f>
        <v>23162900</v>
      </c>
      <c r="Q210" s="6" t="str">
        <f t="shared" si="100"/>
        <v>OKE</v>
      </c>
      <c r="R210" s="6"/>
      <c r="S210" s="68"/>
    </row>
    <row r="211" spans="1:19" s="77" customFormat="1" ht="14.1" customHeight="1" x14ac:dyDescent="0.2">
      <c r="A211" s="74"/>
      <c r="B211" s="28"/>
      <c r="C211" s="83"/>
      <c r="D211" s="13"/>
      <c r="E211" s="14"/>
      <c r="F211" s="13"/>
      <c r="G211" s="78"/>
      <c r="H211" s="79"/>
      <c r="I211" s="15"/>
      <c r="J211" s="143"/>
      <c r="K211" s="78"/>
      <c r="L211" s="80"/>
      <c r="M211" s="80"/>
      <c r="N211" s="171"/>
      <c r="O211" s="15"/>
      <c r="Q211" s="6"/>
      <c r="R211" s="6"/>
      <c r="S211" s="68"/>
    </row>
    <row r="212" spans="1:19" ht="14.1" customHeight="1" x14ac:dyDescent="0.2">
      <c r="A212" s="81"/>
      <c r="B212" s="81"/>
      <c r="C212" s="23" t="s">
        <v>172</v>
      </c>
      <c r="D212" s="24">
        <f>SUM(D202:D210)</f>
        <v>5266450000</v>
      </c>
      <c r="E212" s="24">
        <f>SUM(E202:E210)</f>
        <v>0</v>
      </c>
      <c r="F212" s="141">
        <f>+D212+E212</f>
        <v>5266450000</v>
      </c>
      <c r="G212" s="316">
        <f>SUM(G202:G210)</f>
        <v>3686119250</v>
      </c>
      <c r="H212" s="24">
        <f>SUM(H202:H210)</f>
        <v>611213000</v>
      </c>
      <c r="I212" s="24">
        <f>+G212+H212</f>
        <v>4297332250</v>
      </c>
      <c r="J212" s="175">
        <f>+I212/F212</f>
        <v>0.81598273030219592</v>
      </c>
      <c r="K212" s="316">
        <f>SUM(K202:K211)</f>
        <v>3686047250</v>
      </c>
      <c r="L212" s="24">
        <f>SUM(L202:L211)</f>
        <v>611213000</v>
      </c>
      <c r="M212" s="24">
        <f>+K212+L212</f>
        <v>4297260250</v>
      </c>
      <c r="N212" s="172">
        <f>+M212/F212</f>
        <v>0.81596905885368698</v>
      </c>
      <c r="O212" s="24">
        <f>+F212-M212</f>
        <v>969189750</v>
      </c>
      <c r="P212" s="77"/>
      <c r="Q212" s="6" t="str">
        <f t="shared" si="100"/>
        <v>OKE</v>
      </c>
      <c r="R212" s="6"/>
    </row>
    <row r="213" spans="1:19" ht="14.1" customHeight="1" x14ac:dyDescent="0.2">
      <c r="A213" s="74"/>
      <c r="B213" s="74"/>
      <c r="C213" s="76"/>
      <c r="D213" s="15"/>
      <c r="E213" s="15"/>
      <c r="F213" s="15"/>
      <c r="G213" s="80"/>
      <c r="H213" s="79"/>
      <c r="I213" s="80"/>
      <c r="J213" s="86"/>
      <c r="K213" s="80"/>
      <c r="L213" s="76"/>
      <c r="M213" s="76"/>
      <c r="N213" s="86"/>
      <c r="O213" s="10"/>
      <c r="P213" s="77"/>
      <c r="Q213" s="6"/>
      <c r="R213" s="6"/>
    </row>
    <row r="214" spans="1:19" ht="14.1" customHeight="1" x14ac:dyDescent="0.2">
      <c r="A214" s="74"/>
      <c r="B214" s="217" t="s">
        <v>202</v>
      </c>
      <c r="C214" s="216" t="s">
        <v>203</v>
      </c>
      <c r="D214" s="178">
        <f>+D216</f>
        <v>155412000</v>
      </c>
      <c r="E214" s="221">
        <f>+E216</f>
        <v>0</v>
      </c>
      <c r="F214" s="178">
        <f>D214</f>
        <v>155412000</v>
      </c>
      <c r="G214" s="178">
        <f>+G216</f>
        <v>1330000</v>
      </c>
      <c r="H214" s="178">
        <f>+H216</f>
        <v>0</v>
      </c>
      <c r="I214" s="10">
        <f>+G214+H214</f>
        <v>1330000</v>
      </c>
      <c r="J214" s="168">
        <f>+I214/F214</f>
        <v>8.557897717036007E-3</v>
      </c>
      <c r="K214" s="194">
        <f>+K216</f>
        <v>1330000</v>
      </c>
      <c r="L214" s="180">
        <f>+L216</f>
        <v>0</v>
      </c>
      <c r="M214" s="180">
        <f>+K214+L214</f>
        <v>1330000</v>
      </c>
      <c r="N214" s="169">
        <f>+M214/D214</f>
        <v>8.557897717036007E-3</v>
      </c>
      <c r="O214" s="10">
        <f>+F214-M214</f>
        <v>154082000</v>
      </c>
      <c r="P214" s="83"/>
      <c r="Q214" s="6" t="str">
        <f t="shared" ref="Q214" si="115">IF(M214&lt;=I214,"OKE","Salah")</f>
        <v>OKE</v>
      </c>
      <c r="R214" s="6"/>
    </row>
    <row r="215" spans="1:19" ht="14.1" customHeight="1" x14ac:dyDescent="0.2">
      <c r="A215" s="74"/>
      <c r="B215" s="95"/>
      <c r="C215" s="27"/>
      <c r="D215" s="13"/>
      <c r="E215" s="14"/>
      <c r="F215" s="13"/>
      <c r="G215" s="78"/>
      <c r="H215" s="79"/>
      <c r="I215" s="15"/>
      <c r="J215" s="143"/>
      <c r="K215" s="78"/>
      <c r="L215" s="80"/>
      <c r="M215" s="80"/>
      <c r="N215" s="171"/>
      <c r="O215" s="15"/>
      <c r="P215" s="83"/>
      <c r="Q215" s="6"/>
      <c r="R215" s="6"/>
    </row>
    <row r="216" spans="1:19" ht="18.75" customHeight="1" x14ac:dyDescent="0.2">
      <c r="A216" s="74">
        <v>9</v>
      </c>
      <c r="B216" s="95" t="s">
        <v>206</v>
      </c>
      <c r="C216" s="468" t="s">
        <v>207</v>
      </c>
      <c r="D216" s="13">
        <v>155412000</v>
      </c>
      <c r="E216" s="14"/>
      <c r="F216" s="13">
        <f>D216</f>
        <v>155412000</v>
      </c>
      <c r="G216" s="80">
        <f>+juli!I216</f>
        <v>1330000</v>
      </c>
      <c r="H216" s="79">
        <v>0</v>
      </c>
      <c r="I216" s="15">
        <f>+G216+H216</f>
        <v>1330000</v>
      </c>
      <c r="J216" s="143">
        <f>+I216/F216</f>
        <v>8.557897717036007E-3</v>
      </c>
      <c r="K216" s="80">
        <f>+juli!M216</f>
        <v>1330000</v>
      </c>
      <c r="L216" s="80">
        <v>0</v>
      </c>
      <c r="M216" s="80">
        <f>+K216+L216</f>
        <v>1330000</v>
      </c>
      <c r="N216" s="171">
        <f>+M216/D216</f>
        <v>8.557897717036007E-3</v>
      </c>
      <c r="O216" s="15">
        <f>+F216-M216</f>
        <v>154082000</v>
      </c>
      <c r="P216" s="83"/>
      <c r="Q216" s="6" t="str">
        <f t="shared" ref="Q216" si="116">IF(M216&lt;=I216,"OKE","Salah")</f>
        <v>OKE</v>
      </c>
      <c r="R216" s="6"/>
    </row>
    <row r="217" spans="1:19" ht="17.25" customHeight="1" x14ac:dyDescent="0.2">
      <c r="A217" s="74"/>
      <c r="B217" s="95"/>
      <c r="C217" s="468"/>
      <c r="D217" s="13"/>
      <c r="E217" s="14"/>
      <c r="F217" s="13"/>
      <c r="G217" s="78"/>
      <c r="H217" s="79"/>
      <c r="I217" s="15"/>
      <c r="J217" s="143"/>
      <c r="K217" s="78"/>
      <c r="L217" s="80"/>
      <c r="M217" s="80"/>
      <c r="N217" s="171"/>
      <c r="O217" s="15"/>
      <c r="P217" s="83"/>
      <c r="Q217" s="6"/>
      <c r="R217" s="6"/>
    </row>
    <row r="218" spans="1:19" ht="23.25" customHeight="1" x14ac:dyDescent="0.2">
      <c r="A218" s="226"/>
      <c r="B218" s="227"/>
      <c r="C218" s="223" t="s">
        <v>171</v>
      </c>
      <c r="D218" s="224">
        <f>+D216</f>
        <v>155412000</v>
      </c>
      <c r="E218" s="224">
        <f>+E216</f>
        <v>0</v>
      </c>
      <c r="F218" s="224">
        <f>+F216</f>
        <v>155412000</v>
      </c>
      <c r="G218" s="224">
        <f>+G216</f>
        <v>1330000</v>
      </c>
      <c r="H218" s="224">
        <f>+H216</f>
        <v>0</v>
      </c>
      <c r="I218" s="141">
        <f>+G218+H218</f>
        <v>1330000</v>
      </c>
      <c r="J218" s="176">
        <f>+I218/F218</f>
        <v>8.557897717036007E-3</v>
      </c>
      <c r="K218" s="224">
        <f>+K216</f>
        <v>1330000</v>
      </c>
      <c r="L218" s="224">
        <f>+L216</f>
        <v>0</v>
      </c>
      <c r="M218" s="232">
        <f>+K218-L218</f>
        <v>1330000</v>
      </c>
      <c r="N218" s="173"/>
      <c r="O218" s="141">
        <f>+F218-M218</f>
        <v>154082000</v>
      </c>
      <c r="P218" s="208"/>
      <c r="Q218" s="6"/>
      <c r="R218" s="6"/>
    </row>
    <row r="219" spans="1:19" ht="14.1" customHeight="1" x14ac:dyDescent="0.2">
      <c r="A219" s="74"/>
      <c r="B219" s="74"/>
      <c r="C219" s="77"/>
      <c r="D219" s="15"/>
      <c r="E219" s="15"/>
      <c r="F219" s="15"/>
      <c r="G219" s="80"/>
      <c r="H219" s="79"/>
      <c r="I219" s="80"/>
      <c r="J219" s="86"/>
      <c r="K219" s="80"/>
      <c r="L219" s="76"/>
      <c r="M219" s="76"/>
      <c r="N219" s="86"/>
      <c r="O219" s="10"/>
      <c r="P219" s="77"/>
      <c r="Q219" s="6"/>
      <c r="R219" s="6"/>
    </row>
    <row r="220" spans="1:19" ht="14.1" customHeight="1" x14ac:dyDescent="0.2">
      <c r="A220" s="206"/>
      <c r="B220" s="206" t="s">
        <v>173</v>
      </c>
      <c r="C220" s="255" t="s">
        <v>177</v>
      </c>
      <c r="D220" s="209">
        <f>D226</f>
        <v>1022000000</v>
      </c>
      <c r="E220" s="10">
        <f>E226</f>
        <v>0</v>
      </c>
      <c r="F220" s="10">
        <f>+D220+E220</f>
        <v>1022000000</v>
      </c>
      <c r="G220" s="10">
        <f>G226</f>
        <v>692525459</v>
      </c>
      <c r="H220" s="10">
        <f>H226</f>
        <v>100532261</v>
      </c>
      <c r="I220" s="10">
        <f>+G220+H220</f>
        <v>793057720</v>
      </c>
      <c r="J220" s="168">
        <f>+I220/F220</f>
        <v>0.7759860273972603</v>
      </c>
      <c r="K220" s="10">
        <f>K226</f>
        <v>692525459</v>
      </c>
      <c r="L220" s="10">
        <f>L226</f>
        <v>100532261</v>
      </c>
      <c r="M220" s="10">
        <f>+K220+L220</f>
        <v>793057720</v>
      </c>
      <c r="N220" s="169">
        <f>+M220/F220</f>
        <v>0.7759860273972603</v>
      </c>
      <c r="O220" s="10">
        <f>+F220-M220</f>
        <v>228942280</v>
      </c>
      <c r="P220" s="77"/>
      <c r="Q220" s="6" t="str">
        <f t="shared" si="100"/>
        <v>OKE</v>
      </c>
      <c r="R220" s="6"/>
    </row>
    <row r="221" spans="1:19" ht="14.1" customHeight="1" x14ac:dyDescent="0.2">
      <c r="A221" s="74"/>
      <c r="B221" s="74"/>
      <c r="C221" s="76"/>
      <c r="D221" s="15"/>
      <c r="E221" s="15"/>
      <c r="F221" s="15"/>
      <c r="G221" s="80"/>
      <c r="H221" s="79"/>
      <c r="I221" s="80"/>
      <c r="J221" s="86"/>
      <c r="K221" s="80"/>
      <c r="L221" s="76"/>
      <c r="M221" s="76"/>
      <c r="N221" s="86"/>
      <c r="O221" s="10"/>
      <c r="P221" s="77"/>
      <c r="Q221" s="6"/>
      <c r="R221" s="6"/>
    </row>
    <row r="222" spans="1:19" ht="14.1" customHeight="1" x14ac:dyDescent="0.2">
      <c r="A222" s="74">
        <v>10</v>
      </c>
      <c r="B222" s="28" t="s">
        <v>174</v>
      </c>
      <c r="C222" s="27" t="s">
        <v>60</v>
      </c>
      <c r="D222" s="13">
        <v>22000000</v>
      </c>
      <c r="E222" s="14"/>
      <c r="F222" s="13">
        <f>+D222+E222</f>
        <v>22000000</v>
      </c>
      <c r="G222" s="80">
        <f>+juli!I222</f>
        <v>8900000</v>
      </c>
      <c r="H222" s="79">
        <v>1500000</v>
      </c>
      <c r="I222" s="15">
        <f t="shared" ref="I222:I224" si="117">+G222+H222</f>
        <v>10400000</v>
      </c>
      <c r="J222" s="143">
        <f>+I222/F222</f>
        <v>0.47272727272727272</v>
      </c>
      <c r="K222" s="80">
        <f>+juli!M222</f>
        <v>8900000</v>
      </c>
      <c r="L222" s="80">
        <v>1500000</v>
      </c>
      <c r="M222" s="80">
        <f t="shared" ref="M222" si="118">+K222+L222</f>
        <v>10400000</v>
      </c>
      <c r="N222" s="171">
        <f>+M222/F222</f>
        <v>0.47272727272727272</v>
      </c>
      <c r="O222" s="15">
        <f>+F222-M222</f>
        <v>11600000</v>
      </c>
      <c r="P222" s="77"/>
      <c r="Q222" s="6" t="str">
        <f t="shared" si="100"/>
        <v>OKE</v>
      </c>
      <c r="R222" s="6"/>
    </row>
    <row r="223" spans="1:19" ht="14.1" customHeight="1" x14ac:dyDescent="0.2">
      <c r="A223" s="74"/>
      <c r="B223" s="28"/>
      <c r="C223" s="27"/>
      <c r="D223" s="13"/>
      <c r="E223" s="14"/>
      <c r="F223" s="13"/>
      <c r="G223" s="78"/>
      <c r="H223" s="79"/>
      <c r="I223" s="15"/>
      <c r="J223" s="143"/>
      <c r="K223" s="78"/>
      <c r="L223" s="80"/>
      <c r="M223" s="80"/>
      <c r="N223" s="171"/>
      <c r="O223" s="15"/>
      <c r="P223" s="77"/>
      <c r="Q223" s="6"/>
      <c r="R223" s="6"/>
    </row>
    <row r="224" spans="1:19" ht="14.1" customHeight="1" x14ac:dyDescent="0.2">
      <c r="A224" s="74">
        <v>11</v>
      </c>
      <c r="B224" s="28" t="s">
        <v>175</v>
      </c>
      <c r="C224" s="276" t="s">
        <v>176</v>
      </c>
      <c r="D224" s="13">
        <v>1000000000</v>
      </c>
      <c r="E224" s="14"/>
      <c r="F224" s="13">
        <f>+D224+E224</f>
        <v>1000000000</v>
      </c>
      <c r="G224" s="80">
        <f>+juli!I224</f>
        <v>683625459</v>
      </c>
      <c r="H224" s="79">
        <f>78710866+2808495+7510900+10002000</f>
        <v>99032261</v>
      </c>
      <c r="I224" s="15">
        <f t="shared" si="117"/>
        <v>782657720</v>
      </c>
      <c r="J224" s="143">
        <f>+I224/F224</f>
        <v>0.78265772</v>
      </c>
      <c r="K224" s="80">
        <f>+juli!M224</f>
        <v>683625459</v>
      </c>
      <c r="L224" s="79">
        <f>78710866+2808495+7510900+10002000</f>
        <v>99032261</v>
      </c>
      <c r="M224" s="80">
        <f>+K224+L224</f>
        <v>782657720</v>
      </c>
      <c r="N224" s="171">
        <f>+M224/F224</f>
        <v>0.78265772</v>
      </c>
      <c r="O224" s="15">
        <f>+F224-M224</f>
        <v>217342280</v>
      </c>
      <c r="P224" s="77"/>
      <c r="Q224" s="6" t="str">
        <f>IF(M224&lt;=I224,"OKE","Salah")</f>
        <v>OKE</v>
      </c>
      <c r="R224" s="6"/>
    </row>
    <row r="225" spans="1:18" ht="14.1" customHeight="1" x14ac:dyDescent="0.2">
      <c r="A225" s="74"/>
      <c r="B225" s="29"/>
      <c r="C225" s="27"/>
      <c r="D225" s="13"/>
      <c r="E225" s="14"/>
      <c r="F225" s="13"/>
      <c r="G225" s="78"/>
      <c r="H225" s="79"/>
      <c r="I225" s="15"/>
      <c r="J225" s="143"/>
      <c r="K225" s="80"/>
      <c r="L225" s="80"/>
      <c r="M225" s="80"/>
      <c r="N225" s="171"/>
      <c r="O225" s="15"/>
      <c r="P225" s="77"/>
      <c r="Q225" s="6"/>
      <c r="R225" s="6"/>
    </row>
    <row r="226" spans="1:18" ht="14.1" customHeight="1" x14ac:dyDescent="0.2">
      <c r="A226" s="81"/>
      <c r="B226" s="81"/>
      <c r="C226" s="23" t="s">
        <v>172</v>
      </c>
      <c r="D226" s="24">
        <f>+D222+D224</f>
        <v>1022000000</v>
      </c>
      <c r="E226" s="24">
        <f>SUM(E222:E225)</f>
        <v>0</v>
      </c>
      <c r="F226" s="141">
        <f>SUM(F222:F225)</f>
        <v>1022000000</v>
      </c>
      <c r="G226" s="24">
        <f t="shared" ref="G226:H226" si="119">+G222+G224</f>
        <v>692525459</v>
      </c>
      <c r="H226" s="24">
        <f t="shared" si="119"/>
        <v>100532261</v>
      </c>
      <c r="I226" s="24">
        <f>+G226+H226</f>
        <v>793057720</v>
      </c>
      <c r="J226" s="175">
        <f>+I226/F226</f>
        <v>0.7759860273972603</v>
      </c>
      <c r="K226" s="24">
        <f>SUM(K222:K225)</f>
        <v>692525459</v>
      </c>
      <c r="L226" s="24">
        <f>SUM(L222:L225)</f>
        <v>100532261</v>
      </c>
      <c r="M226" s="24">
        <f>+K226+L226</f>
        <v>793057720</v>
      </c>
      <c r="N226" s="172">
        <f>+M226/F226</f>
        <v>0.7759860273972603</v>
      </c>
      <c r="O226" s="24">
        <f>+F226-M226</f>
        <v>228942280</v>
      </c>
      <c r="P226" s="77"/>
      <c r="Q226" s="6" t="str">
        <f t="shared" si="100"/>
        <v>OKE</v>
      </c>
      <c r="R226" s="6"/>
    </row>
    <row r="227" spans="1:18" ht="15" customHeight="1" x14ac:dyDescent="0.2">
      <c r="A227" s="87"/>
      <c r="B227" s="87"/>
      <c r="C227" s="148"/>
      <c r="D227" s="149"/>
      <c r="E227" s="149"/>
      <c r="F227" s="149"/>
      <c r="G227" s="149"/>
      <c r="H227" s="149"/>
      <c r="I227" s="149"/>
      <c r="J227" s="177"/>
      <c r="K227" s="149"/>
      <c r="L227" s="149"/>
      <c r="M227" s="149"/>
      <c r="N227" s="174"/>
      <c r="O227" s="149"/>
      <c r="P227" s="77"/>
      <c r="Q227" s="6"/>
      <c r="R227" s="6"/>
    </row>
    <row r="228" spans="1:18" ht="15" customHeight="1" x14ac:dyDescent="0.2">
      <c r="A228" s="206"/>
      <c r="B228" s="206" t="s">
        <v>179</v>
      </c>
      <c r="C228" s="282" t="s">
        <v>178</v>
      </c>
      <c r="D228" s="209">
        <f>+D236</f>
        <v>2410000000</v>
      </c>
      <c r="E228" s="10">
        <f t="shared" ref="E228:F228" si="120">+E236</f>
        <v>0</v>
      </c>
      <c r="F228" s="10">
        <f t="shared" si="120"/>
        <v>2410000000</v>
      </c>
      <c r="G228" s="10">
        <f>+G236</f>
        <v>924971285</v>
      </c>
      <c r="H228" s="11">
        <f>+H236</f>
        <v>176224008</v>
      </c>
      <c r="I228" s="10">
        <f>+G228+H228</f>
        <v>1101195293</v>
      </c>
      <c r="J228" s="168">
        <f>+I228/F228</f>
        <v>0.45692750746887967</v>
      </c>
      <c r="K228" s="10">
        <f>+K236</f>
        <v>907734752</v>
      </c>
      <c r="L228" s="10">
        <f>+L236</f>
        <v>178015760</v>
      </c>
      <c r="M228" s="10">
        <f>+K228+L228</f>
        <v>1085750512</v>
      </c>
      <c r="N228" s="169">
        <f>+M228/F228</f>
        <v>0.45051888464730289</v>
      </c>
      <c r="O228" s="10">
        <f>+F228-M228</f>
        <v>1324249488</v>
      </c>
      <c r="P228" s="77"/>
      <c r="Q228" s="6" t="str">
        <f t="shared" ref="Q228:Q236" si="121">IF(M228&lt;=I228,"OKE","Salah")</f>
        <v>OKE</v>
      </c>
      <c r="R228" s="6"/>
    </row>
    <row r="229" spans="1:18" ht="15" customHeight="1" x14ac:dyDescent="0.2">
      <c r="A229" s="74"/>
      <c r="B229" s="74"/>
      <c r="C229" s="76"/>
      <c r="D229" s="15"/>
      <c r="E229" s="15"/>
      <c r="F229" s="15"/>
      <c r="G229" s="80"/>
      <c r="H229" s="79"/>
      <c r="I229" s="80"/>
      <c r="J229" s="86"/>
      <c r="K229" s="80"/>
      <c r="L229" s="76"/>
      <c r="M229" s="76"/>
      <c r="N229" s="86"/>
      <c r="O229" s="10"/>
      <c r="P229" s="77"/>
      <c r="Q229" s="6"/>
      <c r="R229" s="6"/>
    </row>
    <row r="230" spans="1:18" ht="28.5" customHeight="1" x14ac:dyDescent="0.2">
      <c r="A230" s="74">
        <v>12</v>
      </c>
      <c r="B230" s="354" t="s">
        <v>181</v>
      </c>
      <c r="C230" s="276" t="s">
        <v>180</v>
      </c>
      <c r="D230" s="213">
        <v>910000000</v>
      </c>
      <c r="E230" s="14"/>
      <c r="F230" s="13">
        <f>+D230+E230</f>
        <v>910000000</v>
      </c>
      <c r="G230" s="80">
        <f>+juli!I230</f>
        <v>462036102</v>
      </c>
      <c r="H230" s="79">
        <f>34066130+24386300+41692430</f>
        <v>100144860</v>
      </c>
      <c r="I230" s="15">
        <f>+G230+H230</f>
        <v>562180962</v>
      </c>
      <c r="J230" s="143">
        <f>+I230/F230</f>
        <v>0.61778127692307694</v>
      </c>
      <c r="K230" s="80">
        <f>+juli!M230</f>
        <v>462036102</v>
      </c>
      <c r="L230" s="79">
        <f>34066130+24386300+41692430</f>
        <v>100144860</v>
      </c>
      <c r="M230" s="80">
        <f>+K230+L230</f>
        <v>562180962</v>
      </c>
      <c r="N230" s="171">
        <f>+M230/F230</f>
        <v>0.61778127692307694</v>
      </c>
      <c r="O230" s="15">
        <f>+F230-M230</f>
        <v>347819038</v>
      </c>
      <c r="P230" s="77"/>
      <c r="Q230" s="6" t="str">
        <f t="shared" ref="Q230" si="122">IF(M230&lt;=I230,"OKE","Salah")</f>
        <v>OKE</v>
      </c>
      <c r="R230" s="6"/>
    </row>
    <row r="231" spans="1:18" ht="15" customHeight="1" x14ac:dyDescent="0.2">
      <c r="A231" s="74"/>
      <c r="B231" s="74"/>
      <c r="C231" s="83"/>
      <c r="D231" s="15"/>
      <c r="E231" s="17"/>
      <c r="F231" s="15"/>
      <c r="G231" s="78"/>
      <c r="H231" s="79"/>
      <c r="I231" s="80"/>
      <c r="J231" s="86"/>
      <c r="K231" s="78"/>
      <c r="L231" s="76"/>
      <c r="M231" s="76"/>
      <c r="N231" s="86"/>
      <c r="O231" s="10"/>
      <c r="P231" s="77"/>
      <c r="Q231" s="6"/>
      <c r="R231" s="6"/>
    </row>
    <row r="232" spans="1:18" ht="30.75" customHeight="1" x14ac:dyDescent="0.2">
      <c r="A232" s="74">
        <v>13</v>
      </c>
      <c r="B232" s="355" t="s">
        <v>209</v>
      </c>
      <c r="C232" s="274" t="s">
        <v>208</v>
      </c>
      <c r="D232" s="13">
        <v>1000000000</v>
      </c>
      <c r="E232" s="14"/>
      <c r="F232" s="13">
        <f>E232+D232</f>
        <v>1000000000</v>
      </c>
      <c r="G232" s="80">
        <f>+juli!I232</f>
        <v>277937783</v>
      </c>
      <c r="H232" s="79">
        <v>61307148</v>
      </c>
      <c r="I232" s="15">
        <f>+G232+H232</f>
        <v>339244931</v>
      </c>
      <c r="J232" s="143">
        <f>+I232/F232</f>
        <v>0.33924493100000003</v>
      </c>
      <c r="K232" s="80">
        <f>+juli!M232</f>
        <v>276070500</v>
      </c>
      <c r="L232" s="80">
        <v>63098900</v>
      </c>
      <c r="M232" s="80">
        <f>+K232+L232</f>
        <v>339169400</v>
      </c>
      <c r="N232" s="171">
        <f>+M232/D232</f>
        <v>0.33916940000000001</v>
      </c>
      <c r="O232" s="15">
        <f>+F232-M232</f>
        <v>660830600</v>
      </c>
      <c r="P232" s="83"/>
      <c r="Q232" s="6" t="str">
        <f t="shared" ref="Q232" si="123">IF(M232&lt;=I232,"OKE","Salah")</f>
        <v>OKE</v>
      </c>
      <c r="R232" s="6"/>
    </row>
    <row r="233" spans="1:18" ht="15" customHeight="1" x14ac:dyDescent="0.2">
      <c r="A233" s="74"/>
      <c r="B233" s="218"/>
      <c r="C233" s="25"/>
      <c r="D233" s="13"/>
      <c r="E233" s="14"/>
      <c r="F233" s="13"/>
      <c r="G233" s="78"/>
      <c r="H233" s="79"/>
      <c r="I233" s="15"/>
      <c r="J233" s="143"/>
      <c r="K233" s="78"/>
      <c r="L233" s="80"/>
      <c r="M233" s="80"/>
      <c r="N233" s="171"/>
      <c r="O233" s="15"/>
      <c r="P233" s="83"/>
      <c r="Q233" s="6"/>
      <c r="R233" s="6"/>
    </row>
    <row r="234" spans="1:18" ht="30.75" customHeight="1" x14ac:dyDescent="0.2">
      <c r="A234" s="74">
        <v>14</v>
      </c>
      <c r="B234" s="355" t="s">
        <v>211</v>
      </c>
      <c r="C234" s="275" t="s">
        <v>210</v>
      </c>
      <c r="D234" s="15">
        <v>500000000</v>
      </c>
      <c r="E234" s="15"/>
      <c r="F234" s="13">
        <f>E234+D234</f>
        <v>500000000</v>
      </c>
      <c r="G234" s="80">
        <f>+juli!I234</f>
        <v>184997400</v>
      </c>
      <c r="H234" s="79">
        <v>14772000</v>
      </c>
      <c r="I234" s="15">
        <f>+G234+H234</f>
        <v>199769400</v>
      </c>
      <c r="J234" s="143">
        <f>+I234/F234</f>
        <v>0.39953880000000003</v>
      </c>
      <c r="K234" s="80">
        <f>+juli!M234</f>
        <v>169628150</v>
      </c>
      <c r="L234" s="80">
        <v>14772000</v>
      </c>
      <c r="M234" s="80">
        <f>+K234+L234</f>
        <v>184400150</v>
      </c>
      <c r="N234" s="171">
        <f>+M234/D234</f>
        <v>0.36880030000000003</v>
      </c>
      <c r="O234" s="15">
        <f>+F234-M234</f>
        <v>315599850</v>
      </c>
      <c r="P234" s="83"/>
      <c r="Q234" s="6" t="str">
        <f t="shared" ref="Q234" si="124">IF(M234&lt;=I234,"OKE","Salah")</f>
        <v>OKE</v>
      </c>
      <c r="R234" s="6"/>
    </row>
    <row r="235" spans="1:18" ht="15" customHeight="1" x14ac:dyDescent="0.2">
      <c r="A235" s="74"/>
      <c r="B235" s="74"/>
      <c r="C235" s="83"/>
      <c r="D235" s="15"/>
      <c r="E235" s="17"/>
      <c r="F235" s="15"/>
      <c r="G235" s="78"/>
      <c r="H235" s="79"/>
      <c r="I235" s="80"/>
      <c r="J235" s="86"/>
      <c r="K235" s="78"/>
      <c r="L235" s="76"/>
      <c r="M235" s="76"/>
      <c r="N235" s="86"/>
      <c r="O235" s="10"/>
      <c r="P235" s="77"/>
      <c r="Q235" s="6"/>
      <c r="R235" s="6"/>
    </row>
    <row r="236" spans="1:18" ht="18.75" customHeight="1" x14ac:dyDescent="0.2">
      <c r="A236" s="139"/>
      <c r="B236" s="139"/>
      <c r="C236" s="140" t="s">
        <v>172</v>
      </c>
      <c r="D236" s="141">
        <f>+D230+D232+D234</f>
        <v>2410000000</v>
      </c>
      <c r="E236" s="141">
        <f>+E230</f>
        <v>0</v>
      </c>
      <c r="F236" s="141">
        <f>+D236+E236</f>
        <v>2410000000</v>
      </c>
      <c r="G236" s="141">
        <f>+G230+G232+G234</f>
        <v>924971285</v>
      </c>
      <c r="H236" s="141">
        <f>+H230+H232+H234</f>
        <v>176224008</v>
      </c>
      <c r="I236" s="141">
        <f>+G236+H236</f>
        <v>1101195293</v>
      </c>
      <c r="J236" s="176">
        <f>+I236/F236</f>
        <v>0.45692750746887967</v>
      </c>
      <c r="K236" s="141">
        <f>+K230+K232+K234</f>
        <v>907734752</v>
      </c>
      <c r="L236" s="141">
        <f>+L230+L232+L234</f>
        <v>178015760</v>
      </c>
      <c r="M236" s="141">
        <f>+K236+L236</f>
        <v>1085750512</v>
      </c>
      <c r="N236" s="173">
        <f>+M236/F236</f>
        <v>0.45051888464730289</v>
      </c>
      <c r="O236" s="141">
        <f>+F236-M236</f>
        <v>1324249488</v>
      </c>
      <c r="P236" s="77"/>
      <c r="Q236" s="6" t="str">
        <f t="shared" si="121"/>
        <v>OKE</v>
      </c>
      <c r="R236" s="6"/>
    </row>
    <row r="237" spans="1:18" ht="15.95" customHeight="1" x14ac:dyDescent="0.2">
      <c r="A237" s="87"/>
      <c r="B237" s="182"/>
      <c r="C237" s="4"/>
      <c r="D237" s="183"/>
      <c r="E237" s="183"/>
      <c r="F237" s="183"/>
      <c r="G237" s="256"/>
      <c r="H237" s="257"/>
      <c r="I237" s="184"/>
      <c r="J237" s="185"/>
      <c r="K237" s="256"/>
      <c r="L237" s="256"/>
      <c r="M237" s="256"/>
      <c r="N237" s="186"/>
      <c r="O237" s="184"/>
      <c r="P237" s="77"/>
      <c r="Q237" s="6"/>
      <c r="R237" s="6"/>
    </row>
    <row r="238" spans="1:18" ht="34.5" customHeight="1" x14ac:dyDescent="0.2">
      <c r="A238" s="74"/>
      <c r="B238" s="214" t="s">
        <v>304</v>
      </c>
      <c r="C238" s="301" t="s">
        <v>277</v>
      </c>
      <c r="D238" s="178">
        <f>+D240</f>
        <v>1017000000</v>
      </c>
      <c r="E238" s="14"/>
      <c r="F238" s="178">
        <f>+D238+E238</f>
        <v>1017000000</v>
      </c>
      <c r="G238" s="178">
        <f>+G240+G247</f>
        <v>504262500</v>
      </c>
      <c r="H238" s="178">
        <f>+H240+H247</f>
        <v>72037500</v>
      </c>
      <c r="I238" s="10">
        <f>+G238+H238</f>
        <v>576300000</v>
      </c>
      <c r="J238" s="168">
        <f>+I238/F238</f>
        <v>0.56666666666666665</v>
      </c>
      <c r="K238" s="178">
        <f>+K240+K247</f>
        <v>504262500</v>
      </c>
      <c r="L238" s="178">
        <f>+L240+L247</f>
        <v>72037500</v>
      </c>
      <c r="M238" s="180">
        <f>+K238+L238</f>
        <v>576300000</v>
      </c>
      <c r="N238" s="169">
        <f>+M238/F238</f>
        <v>0.56666666666666665</v>
      </c>
      <c r="O238" s="10">
        <f>+F238-M238</f>
        <v>440700000</v>
      </c>
      <c r="P238" s="83"/>
      <c r="Q238" s="6" t="str">
        <f t="shared" ref="Q238" si="125">IF(M238&lt;=I238,"OKE","Salah")</f>
        <v>OKE</v>
      </c>
      <c r="R238" s="6"/>
    </row>
    <row r="239" spans="1:18" ht="15.95" customHeight="1" x14ac:dyDescent="0.2">
      <c r="A239" s="74"/>
      <c r="B239" s="74"/>
      <c r="C239" s="76"/>
      <c r="D239" s="15"/>
      <c r="E239" s="15"/>
      <c r="F239" s="15"/>
      <c r="G239" s="80"/>
      <c r="H239" s="79"/>
      <c r="I239" s="80"/>
      <c r="J239" s="86"/>
      <c r="K239" s="80"/>
      <c r="L239" s="76"/>
      <c r="M239" s="76"/>
      <c r="N239" s="86"/>
      <c r="O239" s="10"/>
      <c r="P239" s="83"/>
      <c r="Q239" s="6"/>
      <c r="R239" s="6"/>
    </row>
    <row r="240" spans="1:18" ht="27" customHeight="1" x14ac:dyDescent="0.2">
      <c r="A240" s="74">
        <v>15</v>
      </c>
      <c r="B240" s="29" t="s">
        <v>303</v>
      </c>
      <c r="C240" s="219" t="s">
        <v>312</v>
      </c>
      <c r="D240" s="13">
        <v>1017000000</v>
      </c>
      <c r="E240" s="14"/>
      <c r="F240" s="13">
        <f>+D240+E240</f>
        <v>1017000000</v>
      </c>
      <c r="G240" s="80">
        <f>+juli!I240</f>
        <v>504262500</v>
      </c>
      <c r="H240" s="79">
        <v>72037500</v>
      </c>
      <c r="I240" s="15">
        <f>+G240+H240</f>
        <v>576300000</v>
      </c>
      <c r="J240" s="143">
        <f>+I240/F240</f>
        <v>0.56666666666666665</v>
      </c>
      <c r="K240" s="80">
        <f>+juli!M240</f>
        <v>504262500</v>
      </c>
      <c r="L240" s="80">
        <v>72037500</v>
      </c>
      <c r="M240" s="80">
        <f>+K240+L240</f>
        <v>576300000</v>
      </c>
      <c r="N240" s="171">
        <f>+M240/F240</f>
        <v>0.56666666666666665</v>
      </c>
      <c r="O240" s="15">
        <f>+F240-M240</f>
        <v>440700000</v>
      </c>
      <c r="P240" s="83"/>
      <c r="Q240" s="6" t="str">
        <f t="shared" ref="Q240" si="126">IF(M240&lt;=I240,"OKE","Salah")</f>
        <v>OKE</v>
      </c>
      <c r="R240" s="6"/>
    </row>
    <row r="241" spans="1:19" ht="16.5" customHeight="1" x14ac:dyDescent="0.2">
      <c r="A241" s="74"/>
      <c r="B241" s="29"/>
      <c r="C241" s="219"/>
      <c r="D241" s="13"/>
      <c r="E241" s="14"/>
      <c r="F241" s="13"/>
      <c r="G241" s="78"/>
      <c r="H241" s="79"/>
      <c r="I241" s="15"/>
      <c r="J241" s="143"/>
      <c r="K241" s="78"/>
      <c r="L241" s="80"/>
      <c r="M241" s="80"/>
      <c r="N241" s="171"/>
      <c r="O241" s="15"/>
      <c r="P241" s="77"/>
      <c r="Q241" s="6"/>
      <c r="R241" s="6"/>
    </row>
    <row r="242" spans="1:19" ht="17.25" customHeight="1" x14ac:dyDescent="0.2">
      <c r="A242" s="139"/>
      <c r="B242" s="139"/>
      <c r="C242" s="140" t="s">
        <v>172</v>
      </c>
      <c r="D242" s="141">
        <f>+D240</f>
        <v>1017000000</v>
      </c>
      <c r="E242" s="141">
        <f>+E240</f>
        <v>0</v>
      </c>
      <c r="F242" s="141">
        <f>+F240</f>
        <v>1017000000</v>
      </c>
      <c r="G242" s="141">
        <f t="shared" ref="G242:H242" si="127">+G240</f>
        <v>504262500</v>
      </c>
      <c r="H242" s="141">
        <f t="shared" si="127"/>
        <v>72037500</v>
      </c>
      <c r="I242" s="141">
        <f>+G242+H242</f>
        <v>576300000</v>
      </c>
      <c r="J242" s="176">
        <f>+I242/F242</f>
        <v>0.56666666666666665</v>
      </c>
      <c r="K242" s="141">
        <f>+K240</f>
        <v>504262500</v>
      </c>
      <c r="L242" s="141">
        <f>+L240</f>
        <v>72037500</v>
      </c>
      <c r="M242" s="141">
        <f>+K242+L242</f>
        <v>576300000</v>
      </c>
      <c r="N242" s="173">
        <f>+M242/F242</f>
        <v>0.56666666666666665</v>
      </c>
      <c r="O242" s="141">
        <f>+F242-M242</f>
        <v>440700000</v>
      </c>
      <c r="P242" s="77"/>
      <c r="Q242" s="6" t="str">
        <f t="shared" ref="Q242" si="128">IF(M242&lt;=I242,"OKE","Salah")</f>
        <v>OKE</v>
      </c>
      <c r="R242" s="6"/>
    </row>
    <row r="243" spans="1:19" ht="15.95" customHeight="1" x14ac:dyDescent="0.2">
      <c r="A243" s="74"/>
      <c r="B243" s="29"/>
      <c r="C243" s="8"/>
      <c r="D243" s="13"/>
      <c r="E243" s="13"/>
      <c r="F243" s="13"/>
      <c r="G243" s="80"/>
      <c r="H243" s="79"/>
      <c r="I243" s="15"/>
      <c r="J243" s="143"/>
      <c r="K243" s="80"/>
      <c r="L243" s="80"/>
      <c r="M243" s="80"/>
      <c r="N243" s="171"/>
      <c r="O243" s="15"/>
      <c r="P243" s="77"/>
      <c r="Q243" s="6"/>
      <c r="R243" s="6"/>
    </row>
    <row r="244" spans="1:19" ht="33.75" customHeight="1" x14ac:dyDescent="0.2">
      <c r="A244" s="7"/>
      <c r="B244" s="206" t="s">
        <v>183</v>
      </c>
      <c r="C244" s="346" t="s">
        <v>377</v>
      </c>
      <c r="D244" s="10">
        <f>+D246+D248</f>
        <v>2300000000</v>
      </c>
      <c r="E244" s="10">
        <f t="shared" ref="E244:F244" si="129">+E246+E248</f>
        <v>0</v>
      </c>
      <c r="F244" s="10">
        <f t="shared" si="129"/>
        <v>2300000000</v>
      </c>
      <c r="G244" s="312">
        <f t="shared" ref="G244:H244" si="130">+G250</f>
        <v>1111128919</v>
      </c>
      <c r="H244" s="11">
        <f t="shared" si="130"/>
        <v>198369648</v>
      </c>
      <c r="I244" s="10">
        <f>+G244+H244</f>
        <v>1309498567</v>
      </c>
      <c r="J244" s="168">
        <f>+I244/F244</f>
        <v>0.5693472030434783</v>
      </c>
      <c r="K244" s="312">
        <f t="shared" ref="K244:L244" si="131">+K246+K248</f>
        <v>1111128919</v>
      </c>
      <c r="L244" s="10">
        <f t="shared" si="131"/>
        <v>198369648</v>
      </c>
      <c r="M244" s="10">
        <f>+K244+L244</f>
        <v>1309498567</v>
      </c>
      <c r="N244" s="169">
        <f>+M244/F244</f>
        <v>0.5693472030434783</v>
      </c>
      <c r="O244" s="10">
        <f>+F244-M244</f>
        <v>990501433</v>
      </c>
      <c r="P244" s="77"/>
      <c r="Q244" s="6" t="str">
        <f t="shared" ref="Q244:Q307" si="132">IF(M244&lt;=I244,"OKE","Salah")</f>
        <v>OKE</v>
      </c>
      <c r="R244" s="6"/>
    </row>
    <row r="245" spans="1:19" ht="15.95" customHeight="1" x14ac:dyDescent="0.2">
      <c r="A245" s="74"/>
      <c r="B245" s="74"/>
      <c r="C245" s="76"/>
      <c r="D245" s="15"/>
      <c r="E245" s="15"/>
      <c r="F245" s="15"/>
      <c r="G245" s="80"/>
      <c r="H245" s="79"/>
      <c r="I245" s="80"/>
      <c r="J245" s="86"/>
      <c r="K245" s="80"/>
      <c r="L245" s="76"/>
      <c r="M245" s="76"/>
      <c r="N245" s="86"/>
      <c r="O245" s="10"/>
      <c r="P245" s="77"/>
      <c r="Q245" s="6"/>
      <c r="R245" s="6"/>
    </row>
    <row r="246" spans="1:19" ht="15.95" customHeight="1" x14ac:dyDescent="0.2">
      <c r="A246" s="74">
        <v>16</v>
      </c>
      <c r="B246" s="207" t="s">
        <v>185</v>
      </c>
      <c r="C246" s="457" t="s">
        <v>184</v>
      </c>
      <c r="D246" s="13">
        <v>2100000000</v>
      </c>
      <c r="E246" s="14"/>
      <c r="F246" s="13">
        <f>+D246+E246</f>
        <v>2100000000</v>
      </c>
      <c r="G246" s="80">
        <f>+juli!I246</f>
        <v>978869119</v>
      </c>
      <c r="H246" s="79">
        <f>79858519+101836229</f>
        <v>181694748</v>
      </c>
      <c r="I246" s="15">
        <f>+G246+H246</f>
        <v>1160563867</v>
      </c>
      <c r="J246" s="143">
        <f>+I246/F246</f>
        <v>0.55264946047619046</v>
      </c>
      <c r="K246" s="80">
        <f>+juli!M246</f>
        <v>978869119</v>
      </c>
      <c r="L246" s="80">
        <f>79858519+101836229</f>
        <v>181694748</v>
      </c>
      <c r="M246" s="80">
        <f>+K246+L246</f>
        <v>1160563867</v>
      </c>
      <c r="N246" s="171">
        <f>+M246/F246</f>
        <v>0.55264946047619046</v>
      </c>
      <c r="O246" s="15">
        <f>+F246-M246</f>
        <v>939436133</v>
      </c>
      <c r="P246" s="77"/>
      <c r="Q246" s="6" t="str">
        <f t="shared" si="132"/>
        <v>OKE</v>
      </c>
      <c r="R246" s="6"/>
    </row>
    <row r="247" spans="1:19" ht="21" customHeight="1" x14ac:dyDescent="0.2">
      <c r="A247" s="74"/>
      <c r="B247" s="29"/>
      <c r="C247" s="457"/>
      <c r="D247" s="13"/>
      <c r="E247" s="14"/>
      <c r="F247" s="13"/>
      <c r="G247" s="78"/>
      <c r="H247" s="79"/>
      <c r="I247" s="15"/>
      <c r="J247" s="143"/>
      <c r="K247" s="80"/>
      <c r="L247" s="80"/>
      <c r="M247" s="80"/>
      <c r="N247" s="171"/>
      <c r="O247" s="15"/>
      <c r="P247" s="77"/>
      <c r="Q247" s="6"/>
      <c r="R247" s="6"/>
    </row>
    <row r="248" spans="1:19" ht="30.75" customHeight="1" x14ac:dyDescent="0.2">
      <c r="A248" s="74">
        <v>17</v>
      </c>
      <c r="B248" s="207" t="s">
        <v>186</v>
      </c>
      <c r="C248" s="276" t="s">
        <v>187</v>
      </c>
      <c r="D248" s="213">
        <v>200000000</v>
      </c>
      <c r="E248" s="14"/>
      <c r="F248" s="13">
        <f>+D248+E248</f>
        <v>200000000</v>
      </c>
      <c r="G248" s="80">
        <f>+juli!I248</f>
        <v>132259800</v>
      </c>
      <c r="H248" s="79">
        <f>15905000+769900</f>
        <v>16674900</v>
      </c>
      <c r="I248" s="15">
        <f>+G248+H248</f>
        <v>148934700</v>
      </c>
      <c r="J248" s="143">
        <f>+I248/F248</f>
        <v>0.74467349999999999</v>
      </c>
      <c r="K248" s="80">
        <f>+juli!M248</f>
        <v>132259800</v>
      </c>
      <c r="L248" s="80">
        <f>15905000+769900</f>
        <v>16674900</v>
      </c>
      <c r="M248" s="80">
        <f>+K248+L248</f>
        <v>148934700</v>
      </c>
      <c r="N248" s="171">
        <f>+M248/F248</f>
        <v>0.74467349999999999</v>
      </c>
      <c r="O248" s="15">
        <f>+F248-M248</f>
        <v>51065300</v>
      </c>
      <c r="P248" s="77"/>
      <c r="Q248" s="6" t="str">
        <f t="shared" ref="Q248" si="133">IF(M248&lt;=I248,"OKE","Salah")</f>
        <v>OKE</v>
      </c>
      <c r="R248" s="6"/>
    </row>
    <row r="249" spans="1:19" ht="15.95" customHeight="1" x14ac:dyDescent="0.2">
      <c r="A249" s="74"/>
      <c r="B249" s="74"/>
      <c r="C249" s="76"/>
      <c r="D249" s="15"/>
      <c r="E249" s="15"/>
      <c r="F249" s="15"/>
      <c r="G249" s="80"/>
      <c r="H249" s="79"/>
      <c r="I249" s="80"/>
      <c r="J249" s="86"/>
      <c r="K249" s="80"/>
      <c r="L249" s="76"/>
      <c r="M249" s="76"/>
      <c r="N249" s="86"/>
      <c r="O249" s="10"/>
      <c r="P249" s="77"/>
      <c r="Q249" s="6"/>
      <c r="R249" s="6"/>
      <c r="S249" s="309">
        <f>+S462+S466</f>
        <v>1648748862</v>
      </c>
    </row>
    <row r="250" spans="1:19" ht="20.25" customHeight="1" x14ac:dyDescent="0.2">
      <c r="A250" s="139"/>
      <c r="B250" s="139"/>
      <c r="C250" s="140" t="s">
        <v>113</v>
      </c>
      <c r="D250" s="141">
        <f>SUM(D246:D248)</f>
        <v>2300000000</v>
      </c>
      <c r="E250" s="141">
        <f t="shared" ref="E250" si="134">SUM(E246:E248)</f>
        <v>0</v>
      </c>
      <c r="F250" s="141">
        <f>+D250+E250</f>
        <v>2300000000</v>
      </c>
      <c r="G250" s="313">
        <f>SUM(G246:G248)</f>
        <v>1111128919</v>
      </c>
      <c r="H250" s="141">
        <f>SUM(H246:H248)</f>
        <v>198369648</v>
      </c>
      <c r="I250" s="141">
        <f>+G250+H250</f>
        <v>1309498567</v>
      </c>
      <c r="J250" s="176">
        <f>+I250/F250</f>
        <v>0.5693472030434783</v>
      </c>
      <c r="K250" s="313">
        <f t="shared" ref="K250:L250" si="135">SUM(K246:K248)</f>
        <v>1111128919</v>
      </c>
      <c r="L250" s="141">
        <f t="shared" si="135"/>
        <v>198369648</v>
      </c>
      <c r="M250" s="141">
        <f>+M246+M248</f>
        <v>1309498567</v>
      </c>
      <c r="N250" s="173">
        <f>+M250/F250</f>
        <v>0.5693472030434783</v>
      </c>
      <c r="O250" s="141">
        <f>+D250-M250</f>
        <v>990501433</v>
      </c>
      <c r="P250" s="77"/>
      <c r="Q250" s="6" t="str">
        <f t="shared" si="132"/>
        <v>OKE</v>
      </c>
      <c r="R250" s="6"/>
    </row>
    <row r="251" spans="1:19" ht="8.25" customHeight="1" x14ac:dyDescent="0.2">
      <c r="A251" s="74"/>
      <c r="B251" s="74"/>
      <c r="C251" s="9"/>
      <c r="D251" s="10"/>
      <c r="E251" s="10"/>
      <c r="F251" s="10"/>
      <c r="G251" s="10"/>
      <c r="H251" s="10"/>
      <c r="I251" s="10"/>
      <c r="J251" s="168"/>
      <c r="K251" s="10"/>
      <c r="L251" s="10"/>
      <c r="M251" s="10"/>
      <c r="N251" s="169"/>
      <c r="O251" s="10"/>
      <c r="P251" s="77"/>
      <c r="Q251" s="6"/>
      <c r="R251" s="6"/>
    </row>
    <row r="252" spans="1:19" ht="15.95" customHeight="1" x14ac:dyDescent="0.2">
      <c r="A252" s="74"/>
      <c r="B252" s="74"/>
      <c r="C252" s="9"/>
      <c r="D252" s="10"/>
      <c r="E252" s="10"/>
      <c r="F252" s="10"/>
      <c r="G252" s="10"/>
      <c r="H252" s="11"/>
      <c r="I252" s="10"/>
      <c r="J252" s="176"/>
      <c r="K252" s="10"/>
      <c r="L252" s="10"/>
      <c r="M252" s="10"/>
      <c r="N252" s="169"/>
      <c r="O252" s="10"/>
      <c r="P252" s="77"/>
      <c r="Q252" s="6"/>
      <c r="R252" s="6"/>
      <c r="S252" s="190">
        <f>+S462+S466</f>
        <v>1648748862</v>
      </c>
    </row>
    <row r="253" spans="1:19" ht="11.25" customHeight="1" x14ac:dyDescent="0.2">
      <c r="A253" s="388"/>
      <c r="B253" s="388"/>
      <c r="C253" s="395" t="s">
        <v>76</v>
      </c>
      <c r="D253" s="364">
        <f>+D198+D212+D226+D236+D242+D250+D190</f>
        <v>12324425000</v>
      </c>
      <c r="E253" s="364">
        <f>+E212+E226+E236+E250</f>
        <v>0</v>
      </c>
      <c r="F253" s="364">
        <f>+D253+E253</f>
        <v>12324425000</v>
      </c>
      <c r="G253" s="455">
        <f>+G198+G212+G226+G236+G242+G250+G190+G218</f>
        <v>7184992413</v>
      </c>
      <c r="H253" s="364">
        <f>+H198+H212+H226+H236+H242+H250+H218+H190</f>
        <v>1158376417</v>
      </c>
      <c r="I253" s="364">
        <f>+G253+H253</f>
        <v>8343368830</v>
      </c>
      <c r="J253" s="408">
        <f>+I253/F253</f>
        <v>0.67697834422295566</v>
      </c>
      <c r="K253" s="455">
        <f>+K198+K212+K226+K236+K242+K250+K218+K190</f>
        <v>7167683880</v>
      </c>
      <c r="L253" s="364">
        <f>+L198+L212+L226+L236+L242+L250+L218+L190</f>
        <v>1160168169</v>
      </c>
      <c r="M253" s="364">
        <f>+K253+L253</f>
        <v>8327852049</v>
      </c>
      <c r="N253" s="366">
        <f>+M253/F253</f>
        <v>0.675719317452944</v>
      </c>
      <c r="O253" s="364">
        <f>+F253-M253</f>
        <v>3996572951</v>
      </c>
      <c r="P253" s="77"/>
      <c r="Q253" s="6" t="str">
        <f t="shared" si="132"/>
        <v>OKE</v>
      </c>
      <c r="R253" s="6"/>
    </row>
    <row r="254" spans="1:19" ht="15" thickBot="1" x14ac:dyDescent="0.25">
      <c r="A254" s="389"/>
      <c r="B254" s="389"/>
      <c r="C254" s="396"/>
      <c r="D254" s="396"/>
      <c r="E254" s="396"/>
      <c r="F254" s="396"/>
      <c r="G254" s="456"/>
      <c r="H254" s="396"/>
      <c r="I254" s="396"/>
      <c r="J254" s="409"/>
      <c r="K254" s="456"/>
      <c r="L254" s="396"/>
      <c r="M254" s="396"/>
      <c r="N254" s="367"/>
      <c r="O254" s="396"/>
      <c r="P254" s="83"/>
      <c r="Q254" s="6" t="str">
        <f t="shared" si="132"/>
        <v>OKE</v>
      </c>
      <c r="R254" s="6"/>
      <c r="S254" s="190">
        <f>+S475-245000</f>
        <v>705067409</v>
      </c>
    </row>
    <row r="255" spans="1:19" ht="15" hidden="1" thickBot="1" x14ac:dyDescent="0.25">
      <c r="B255" s="88"/>
      <c r="C255" s="77"/>
      <c r="D255" s="31"/>
      <c r="E255" s="31"/>
      <c r="F255" s="31"/>
      <c r="G255" s="179"/>
      <c r="H255" s="258"/>
      <c r="I255" s="179"/>
      <c r="J255" s="179"/>
      <c r="K255" s="179"/>
      <c r="L255" s="77"/>
      <c r="M255" s="77"/>
      <c r="N255" s="77"/>
      <c r="O255" s="77"/>
      <c r="P255" s="77"/>
      <c r="Q255" s="6" t="str">
        <f t="shared" si="132"/>
        <v>OKE</v>
      </c>
      <c r="R255" s="6"/>
    </row>
    <row r="256" spans="1:19" ht="15" hidden="1" thickBot="1" x14ac:dyDescent="0.25">
      <c r="B256" s="88"/>
      <c r="C256" s="77"/>
      <c r="D256" s="31"/>
      <c r="E256" s="31"/>
      <c r="F256" s="31"/>
      <c r="G256" s="179"/>
      <c r="H256" s="258"/>
      <c r="I256" s="179"/>
      <c r="J256" s="179"/>
      <c r="K256" s="179"/>
      <c r="L256" s="77"/>
      <c r="M256" s="77"/>
      <c r="N256" s="77"/>
      <c r="O256" s="77"/>
      <c r="P256" s="77"/>
      <c r="Q256" s="6" t="str">
        <f t="shared" si="132"/>
        <v>OKE</v>
      </c>
      <c r="R256" s="6"/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2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2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2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2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2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2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2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2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2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2"/>
        <v>OKE</v>
      </c>
      <c r="R266" s="6"/>
    </row>
    <row r="267" spans="1:18" ht="14.1" hidden="1" customHeight="1" x14ac:dyDescent="0.2">
      <c r="A267" s="410" t="s">
        <v>0</v>
      </c>
      <c r="B267" s="410"/>
      <c r="C267" s="410"/>
      <c r="D267" s="410"/>
      <c r="E267" s="410"/>
      <c r="F267" s="410"/>
      <c r="G267" s="410"/>
      <c r="H267" s="410"/>
      <c r="I267" s="410"/>
      <c r="J267" s="410"/>
      <c r="K267" s="410"/>
      <c r="L267" s="410"/>
      <c r="M267" s="410"/>
      <c r="N267" s="410"/>
      <c r="O267" s="410"/>
      <c r="P267" s="77"/>
      <c r="Q267" s="6" t="str">
        <f t="shared" si="132"/>
        <v>OKE</v>
      </c>
      <c r="R267" s="6"/>
    </row>
    <row r="268" spans="1:18" ht="14.1" hidden="1" customHeight="1" x14ac:dyDescent="0.2">
      <c r="A268" s="410" t="s">
        <v>130</v>
      </c>
      <c r="B268" s="410"/>
      <c r="C268" s="410"/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77"/>
      <c r="Q268" s="6" t="str">
        <f t="shared" si="132"/>
        <v>OKE</v>
      </c>
      <c r="R268" s="6"/>
    </row>
    <row r="269" spans="1:18" ht="14.1" hidden="1" customHeight="1" x14ac:dyDescent="0.2">
      <c r="A269" s="407" t="s">
        <v>131</v>
      </c>
      <c r="B269" s="407"/>
      <c r="C269" s="407"/>
      <c r="D269" s="407"/>
      <c r="E269" s="407"/>
      <c r="F269" s="407"/>
      <c r="G269" s="407"/>
      <c r="H269" s="407"/>
      <c r="I269" s="407"/>
      <c r="J269" s="407"/>
      <c r="K269" s="407"/>
      <c r="L269" s="407"/>
      <c r="M269" s="407"/>
      <c r="N269" s="407"/>
      <c r="O269" s="407"/>
      <c r="P269" s="77"/>
      <c r="Q269" s="6" t="str">
        <f t="shared" si="132"/>
        <v>OKE</v>
      </c>
      <c r="R269" s="6"/>
    </row>
    <row r="270" spans="1:18" ht="14.1" hidden="1" customHeight="1" x14ac:dyDescent="0.2">
      <c r="A270" s="361" t="s">
        <v>2</v>
      </c>
      <c r="B270" s="361" t="s">
        <v>3</v>
      </c>
      <c r="C270" s="361" t="s">
        <v>4</v>
      </c>
      <c r="D270" s="361" t="s">
        <v>5</v>
      </c>
      <c r="E270" s="197"/>
      <c r="F270" s="197"/>
      <c r="G270" s="358" t="s">
        <v>11</v>
      </c>
      <c r="H270" s="359"/>
      <c r="I270" s="359"/>
      <c r="J270" s="360"/>
      <c r="K270" s="358" t="s">
        <v>9</v>
      </c>
      <c r="L270" s="359"/>
      <c r="M270" s="359"/>
      <c r="N270" s="360"/>
      <c r="O270" s="361" t="s">
        <v>10</v>
      </c>
      <c r="P270" s="77"/>
      <c r="Q270" s="6" t="str">
        <f t="shared" si="132"/>
        <v>OKE</v>
      </c>
      <c r="R270" s="6"/>
    </row>
    <row r="271" spans="1:18" ht="14.1" hidden="1" customHeight="1" x14ac:dyDescent="0.2">
      <c r="A271" s="362"/>
      <c r="B271" s="362"/>
      <c r="C271" s="362"/>
      <c r="D271" s="362"/>
      <c r="E271" s="44"/>
      <c r="F271" s="44"/>
      <c r="G271" s="358" t="s">
        <v>74</v>
      </c>
      <c r="H271" s="359"/>
      <c r="I271" s="359"/>
      <c r="J271" s="360"/>
      <c r="K271" s="358" t="s">
        <v>12</v>
      </c>
      <c r="L271" s="359"/>
      <c r="M271" s="359"/>
      <c r="N271" s="360"/>
      <c r="O271" s="362"/>
      <c r="P271" s="77"/>
      <c r="Q271" s="6" t="str">
        <f t="shared" si="132"/>
        <v>OKE</v>
      </c>
      <c r="R271" s="6"/>
    </row>
    <row r="272" spans="1:18" ht="15" hidden="1" thickBot="1" x14ac:dyDescent="0.25">
      <c r="A272" s="363"/>
      <c r="B272" s="363"/>
      <c r="C272" s="363"/>
      <c r="D272" s="363"/>
      <c r="E272" s="196"/>
      <c r="F272" s="196"/>
      <c r="G272" s="144" t="s">
        <v>13</v>
      </c>
      <c r="H272" s="145" t="s">
        <v>14</v>
      </c>
      <c r="I272" s="144" t="s">
        <v>15</v>
      </c>
      <c r="J272" s="144" t="s">
        <v>16</v>
      </c>
      <c r="K272" s="144" t="s">
        <v>13</v>
      </c>
      <c r="L272" s="144" t="s">
        <v>14</v>
      </c>
      <c r="M272" s="144" t="s">
        <v>15</v>
      </c>
      <c r="N272" s="144" t="s">
        <v>16</v>
      </c>
      <c r="O272" s="363"/>
      <c r="P272" s="77"/>
      <c r="Q272" s="6" t="str">
        <f t="shared" si="132"/>
        <v>OKE</v>
      </c>
      <c r="R272" s="6"/>
    </row>
    <row r="273" spans="1:18" ht="15" hidden="1" thickBot="1" x14ac:dyDescent="0.25">
      <c r="A273" s="2">
        <v>1</v>
      </c>
      <c r="B273" s="2">
        <v>2</v>
      </c>
      <c r="C273" s="2">
        <v>3</v>
      </c>
      <c r="D273" s="2">
        <v>4</v>
      </c>
      <c r="E273" s="2"/>
      <c r="F273" s="2"/>
      <c r="G273" s="2">
        <v>5</v>
      </c>
      <c r="H273" s="145">
        <v>6</v>
      </c>
      <c r="I273" s="45" t="s">
        <v>77</v>
      </c>
      <c r="J273" s="45" t="s">
        <v>78</v>
      </c>
      <c r="K273" s="45">
        <v>9</v>
      </c>
      <c r="L273" s="45">
        <v>10</v>
      </c>
      <c r="M273" s="45" t="s">
        <v>79</v>
      </c>
      <c r="N273" s="45" t="s">
        <v>80</v>
      </c>
      <c r="O273" s="45" t="s">
        <v>81</v>
      </c>
      <c r="P273" s="77"/>
      <c r="Q273" s="6" t="str">
        <f t="shared" si="132"/>
        <v>OKE</v>
      </c>
      <c r="R273" s="6"/>
    </row>
    <row r="274" spans="1:18" ht="15" hidden="1" thickBot="1" x14ac:dyDescent="0.25">
      <c r="A274" s="74"/>
      <c r="B274" s="76"/>
      <c r="C274" s="76"/>
      <c r="D274" s="8"/>
      <c r="E274" s="8"/>
      <c r="F274" s="8"/>
      <c r="G274" s="76"/>
      <c r="H274" s="82"/>
      <c r="I274" s="76"/>
      <c r="J274" s="76"/>
      <c r="K274" s="76"/>
      <c r="L274" s="76"/>
      <c r="M274" s="76"/>
      <c r="N274" s="241"/>
      <c r="O274" s="241"/>
      <c r="P274" s="77"/>
      <c r="Q274" s="6" t="str">
        <f t="shared" si="132"/>
        <v>OKE</v>
      </c>
      <c r="R274" s="6"/>
    </row>
    <row r="275" spans="1:18" ht="15" hidden="1" thickBot="1" x14ac:dyDescent="0.25">
      <c r="A275" s="74"/>
      <c r="B275" s="76"/>
      <c r="C275" s="244" t="s">
        <v>82</v>
      </c>
      <c r="D275" s="8"/>
      <c r="E275" s="8"/>
      <c r="F275" s="8"/>
      <c r="G275" s="76"/>
      <c r="H275" s="82"/>
      <c r="I275" s="76"/>
      <c r="J275" s="76"/>
      <c r="K275" s="76"/>
      <c r="L275" s="76"/>
      <c r="M275" s="76"/>
      <c r="N275" s="76"/>
      <c r="O275" s="76"/>
      <c r="P275" s="77"/>
      <c r="Q275" s="6" t="str">
        <f t="shared" si="132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76"/>
      <c r="O276" s="76"/>
      <c r="P276" s="77"/>
      <c r="Q276" s="6" t="str">
        <f t="shared" si="132"/>
        <v>OKE</v>
      </c>
      <c r="R276" s="6"/>
    </row>
    <row r="277" spans="1:18" ht="15" hidden="1" thickBot="1" x14ac:dyDescent="0.25">
      <c r="A277" s="7" t="s">
        <v>22</v>
      </c>
      <c r="B277" s="7" t="s">
        <v>23</v>
      </c>
      <c r="C277" s="9" t="s">
        <v>45</v>
      </c>
      <c r="D277" s="10">
        <f>+D279+D284+D286+D288</f>
        <v>352575000</v>
      </c>
      <c r="E277" s="10"/>
      <c r="F277" s="10"/>
      <c r="G277" s="10">
        <f>+G279+G284+G286+G288</f>
        <v>130595000</v>
      </c>
      <c r="H277" s="11">
        <f>+H279+H284+H286+H288</f>
        <v>200225000</v>
      </c>
      <c r="I277" s="10">
        <f>+G277+H277</f>
        <v>330820000</v>
      </c>
      <c r="J277" s="12">
        <f>+I277/D277</f>
        <v>0.9382968162802241</v>
      </c>
      <c r="K277" s="10">
        <f>+K279+K284+K286+K288</f>
        <v>124051000</v>
      </c>
      <c r="L277" s="10">
        <f>+L279+L284+L286+L288</f>
        <v>199372700</v>
      </c>
      <c r="M277" s="10">
        <f>+K277+L277</f>
        <v>323423700</v>
      </c>
      <c r="N277" s="12">
        <f>+M277/D277</f>
        <v>0.91731886832588816</v>
      </c>
      <c r="O277" s="10">
        <f>+D277-I277</f>
        <v>21755000</v>
      </c>
      <c r="P277" s="77"/>
      <c r="Q277" s="6" t="str">
        <f t="shared" si="132"/>
        <v>OKE</v>
      </c>
      <c r="R277" s="6"/>
    </row>
    <row r="278" spans="1:18" ht="15" hidden="1" thickBot="1" x14ac:dyDescent="0.25">
      <c r="A278" s="74"/>
      <c r="B278" s="74"/>
      <c r="C278" s="76"/>
      <c r="D278" s="15"/>
      <c r="E278" s="15"/>
      <c r="F278" s="15"/>
      <c r="G278" s="80"/>
      <c r="H278" s="79"/>
      <c r="I278" s="80"/>
      <c r="J278" s="80"/>
      <c r="K278" s="80"/>
      <c r="L278" s="76"/>
      <c r="M278" s="76"/>
      <c r="N278" s="76"/>
      <c r="O278" s="76"/>
      <c r="P278" s="77"/>
      <c r="Q278" s="6" t="str">
        <f t="shared" si="132"/>
        <v>OKE</v>
      </c>
      <c r="R278" s="6"/>
    </row>
    <row r="279" spans="1:18" ht="15" hidden="1" thickBot="1" x14ac:dyDescent="0.25">
      <c r="A279" s="74">
        <v>1</v>
      </c>
      <c r="B279" s="75" t="s">
        <v>39</v>
      </c>
      <c r="C279" s="76" t="s">
        <v>50</v>
      </c>
      <c r="D279" s="15">
        <v>255000000</v>
      </c>
      <c r="E279" s="15"/>
      <c r="F279" s="15"/>
      <c r="G279" s="80">
        <v>68220000</v>
      </c>
      <c r="H279" s="79">
        <v>173020000</v>
      </c>
      <c r="I279" s="15">
        <f>+G279+H279</f>
        <v>241240000</v>
      </c>
      <c r="J279" s="16">
        <f>+I279/D279</f>
        <v>0.94603921568627447</v>
      </c>
      <c r="K279" s="80">
        <v>65540000</v>
      </c>
      <c r="L279" s="80">
        <v>174070000</v>
      </c>
      <c r="M279" s="80">
        <f>+K279+L279</f>
        <v>239610000</v>
      </c>
      <c r="N279" s="16">
        <f>+M279/D279</f>
        <v>0.93964705882352939</v>
      </c>
      <c r="O279" s="80">
        <f>+D279-I279</f>
        <v>13760000</v>
      </c>
      <c r="P279" s="77"/>
      <c r="Q279" s="6" t="str">
        <f t="shared" si="132"/>
        <v>OKE</v>
      </c>
      <c r="R279" s="6"/>
    </row>
    <row r="280" spans="1:18" ht="15" hidden="1" thickBot="1" x14ac:dyDescent="0.25">
      <c r="A280" s="74"/>
      <c r="B280" s="75"/>
      <c r="C280" s="76"/>
      <c r="D280" s="15"/>
      <c r="E280" s="15"/>
      <c r="F280" s="15"/>
      <c r="G280" s="80"/>
      <c r="H280" s="79"/>
      <c r="I280" s="15"/>
      <c r="J280" s="16"/>
      <c r="K280" s="80"/>
      <c r="L280" s="80"/>
      <c r="M280" s="80"/>
      <c r="N280" s="16"/>
      <c r="O280" s="80"/>
      <c r="P280" s="77"/>
      <c r="Q280" s="6" t="str">
        <f t="shared" si="132"/>
        <v>OKE</v>
      </c>
      <c r="R280" s="6"/>
    </row>
    <row r="281" spans="1:18" ht="15" hidden="1" thickBot="1" x14ac:dyDescent="0.25">
      <c r="A281" s="74"/>
      <c r="B281" s="18" t="s">
        <v>24</v>
      </c>
      <c r="C281" s="19" t="s">
        <v>25</v>
      </c>
      <c r="D281" s="20">
        <v>44275000</v>
      </c>
      <c r="E281" s="20"/>
      <c r="F281" s="20"/>
      <c r="G281" s="20">
        <v>33022500</v>
      </c>
      <c r="H281" s="21">
        <v>2527500</v>
      </c>
      <c r="I281" s="20">
        <f>+G281+H281</f>
        <v>35550000</v>
      </c>
      <c r="J281" s="22">
        <f>+I281/D281</f>
        <v>0.80293619424054208</v>
      </c>
      <c r="K281" s="20">
        <v>27217500</v>
      </c>
      <c r="L281" s="20">
        <v>0</v>
      </c>
      <c r="M281" s="20">
        <f>+K281+L281</f>
        <v>27217500</v>
      </c>
      <c r="N281" s="22">
        <f>+M281/D281</f>
        <v>0.61473743647656687</v>
      </c>
      <c r="O281" s="20">
        <f>+D281-I281</f>
        <v>8725000</v>
      </c>
      <c r="P281" s="77"/>
      <c r="Q281" s="6" t="str">
        <f t="shared" si="132"/>
        <v>OKE</v>
      </c>
      <c r="R281" s="6"/>
    </row>
    <row r="282" spans="1:18" ht="15" hidden="1" thickBot="1" x14ac:dyDescent="0.25">
      <c r="A282" s="74"/>
      <c r="B282" s="18" t="s">
        <v>24</v>
      </c>
      <c r="C282" s="19" t="s">
        <v>28</v>
      </c>
      <c r="D282" s="20">
        <v>-11700000</v>
      </c>
      <c r="E282" s="20"/>
      <c r="F282" s="20"/>
      <c r="G282" s="20">
        <v>0</v>
      </c>
      <c r="H282" s="21">
        <v>-8825000</v>
      </c>
      <c r="I282" s="20">
        <f>+G282+H282</f>
        <v>-8825000</v>
      </c>
      <c r="J282" s="22"/>
      <c r="K282" s="20"/>
      <c r="L282" s="20">
        <v>-8825000</v>
      </c>
      <c r="M282" s="20">
        <f>+K282+L282</f>
        <v>-8825000</v>
      </c>
      <c r="N282" s="22"/>
      <c r="O282" s="20"/>
      <c r="P282" s="77"/>
      <c r="Q282" s="6" t="str">
        <f t="shared" si="132"/>
        <v>OKE</v>
      </c>
      <c r="R282" s="6"/>
    </row>
    <row r="283" spans="1:18" ht="15" hidden="1" thickBot="1" x14ac:dyDescent="0.25">
      <c r="A283" s="74"/>
      <c r="B283" s="74"/>
      <c r="C283" s="76"/>
      <c r="D283" s="15"/>
      <c r="E283" s="15"/>
      <c r="F283" s="15"/>
      <c r="G283" s="80"/>
      <c r="H283" s="79"/>
      <c r="I283" s="80"/>
      <c r="J283" s="80"/>
      <c r="K283" s="80"/>
      <c r="L283" s="76"/>
      <c r="M283" s="76"/>
      <c r="N283" s="76"/>
      <c r="O283" s="76"/>
      <c r="P283" s="77"/>
      <c r="Q283" s="6" t="str">
        <f t="shared" si="132"/>
        <v>OKE</v>
      </c>
      <c r="R283" s="6"/>
    </row>
    <row r="284" spans="1:18" ht="15" hidden="1" thickBot="1" x14ac:dyDescent="0.25">
      <c r="A284" s="74">
        <v>2</v>
      </c>
      <c r="B284" s="75" t="s">
        <v>24</v>
      </c>
      <c r="C284" s="76" t="s">
        <v>25</v>
      </c>
      <c r="D284" s="15">
        <v>32575000</v>
      </c>
      <c r="E284" s="15"/>
      <c r="F284" s="15"/>
      <c r="G284" s="80">
        <v>26725000</v>
      </c>
      <c r="H284" s="79">
        <v>5055000</v>
      </c>
      <c r="I284" s="15">
        <f>+G284+H284</f>
        <v>31780000</v>
      </c>
      <c r="J284" s="16">
        <f>+I284/D284</f>
        <v>0.97559478127398314</v>
      </c>
      <c r="K284" s="80">
        <v>23622500</v>
      </c>
      <c r="L284" s="80">
        <v>7757500</v>
      </c>
      <c r="M284" s="80">
        <f>+K284+L284</f>
        <v>31380000</v>
      </c>
      <c r="N284" s="16">
        <f>+M284/D284</f>
        <v>0.96331542594013819</v>
      </c>
      <c r="O284" s="80">
        <f>+D284-I284</f>
        <v>795000</v>
      </c>
      <c r="P284" s="77"/>
      <c r="Q284" s="6" t="str">
        <f t="shared" si="132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93"/>
      <c r="M285" s="76"/>
      <c r="N285" s="76"/>
      <c r="O285" s="76"/>
      <c r="P285" s="77"/>
      <c r="Q285" s="6" t="str">
        <f t="shared" si="132"/>
        <v>OKE</v>
      </c>
      <c r="R285" s="6"/>
    </row>
    <row r="286" spans="1:18" ht="15" hidden="1" thickBot="1" x14ac:dyDescent="0.25">
      <c r="A286" s="74">
        <v>3</v>
      </c>
      <c r="B286" s="75" t="s">
        <v>46</v>
      </c>
      <c r="C286" s="76" t="s">
        <v>47</v>
      </c>
      <c r="D286" s="15">
        <v>25000000</v>
      </c>
      <c r="E286" s="15"/>
      <c r="F286" s="15"/>
      <c r="G286" s="80">
        <v>9400000</v>
      </c>
      <c r="H286" s="79">
        <v>15600000</v>
      </c>
      <c r="I286" s="15">
        <f>+G286+H286</f>
        <v>25000000</v>
      </c>
      <c r="J286" s="16">
        <f>+I286/D286</f>
        <v>1</v>
      </c>
      <c r="K286" s="80">
        <v>9400000</v>
      </c>
      <c r="L286" s="80">
        <v>11703700</v>
      </c>
      <c r="M286" s="80">
        <f>+K286+L286</f>
        <v>21103700</v>
      </c>
      <c r="N286" s="16">
        <f>+M286/D286</f>
        <v>0.84414800000000001</v>
      </c>
      <c r="O286" s="80">
        <f>+D286-I286</f>
        <v>0</v>
      </c>
      <c r="P286" s="77"/>
      <c r="Q286" s="6" t="str">
        <f t="shared" si="132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76"/>
      <c r="M287" s="76"/>
      <c r="N287" s="76"/>
      <c r="O287" s="76"/>
      <c r="P287" s="77"/>
      <c r="Q287" s="6" t="str">
        <f t="shared" si="132"/>
        <v>OKE</v>
      </c>
      <c r="R287" s="6"/>
    </row>
    <row r="288" spans="1:18" ht="15" hidden="1" thickBot="1" x14ac:dyDescent="0.25">
      <c r="A288" s="74">
        <v>4</v>
      </c>
      <c r="B288" s="75" t="s">
        <v>29</v>
      </c>
      <c r="C288" s="76" t="s">
        <v>30</v>
      </c>
      <c r="D288" s="15">
        <v>40000000</v>
      </c>
      <c r="E288" s="15"/>
      <c r="F288" s="15"/>
      <c r="G288" s="80">
        <v>26250000</v>
      </c>
      <c r="H288" s="79">
        <v>6550000</v>
      </c>
      <c r="I288" s="15">
        <f>+G288+H288</f>
        <v>32800000</v>
      </c>
      <c r="J288" s="16">
        <f>+I288/D288</f>
        <v>0.82</v>
      </c>
      <c r="K288" s="80">
        <v>25488500</v>
      </c>
      <c r="L288" s="80">
        <v>5841500</v>
      </c>
      <c r="M288" s="80">
        <f>+K288+L288</f>
        <v>31330000</v>
      </c>
      <c r="N288" s="16">
        <f>+M288/D288</f>
        <v>0.78325</v>
      </c>
      <c r="O288" s="80">
        <f>+D288-I288</f>
        <v>7200000</v>
      </c>
      <c r="P288" s="77"/>
      <c r="Q288" s="6" t="str">
        <f t="shared" si="132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2"/>
        <v>OKE</v>
      </c>
      <c r="R289" s="6"/>
    </row>
    <row r="290" spans="1:18" ht="15" hidden="1" thickBot="1" x14ac:dyDescent="0.25">
      <c r="A290" s="74"/>
      <c r="B290" s="74"/>
      <c r="C290" s="9" t="s">
        <v>48</v>
      </c>
      <c r="D290" s="10">
        <f>+D288+D286+D284+D279</f>
        <v>352575000</v>
      </c>
      <c r="E290" s="10"/>
      <c r="F290" s="10"/>
      <c r="G290" s="10">
        <f>+G288+G286+G284+G279</f>
        <v>130595000</v>
      </c>
      <c r="H290" s="11">
        <f>+H288+H286+H284+H279</f>
        <v>200225000</v>
      </c>
      <c r="I290" s="10">
        <f>+G290+H290</f>
        <v>330820000</v>
      </c>
      <c r="J290" s="12">
        <f>+I290/D290</f>
        <v>0.9382968162802241</v>
      </c>
      <c r="K290" s="10">
        <f>+K288+K286+K284+K279</f>
        <v>124051000</v>
      </c>
      <c r="L290" s="10">
        <f>+L288+L286+L284+L279</f>
        <v>199372700</v>
      </c>
      <c r="M290" s="10">
        <f>+K290+L290</f>
        <v>323423700</v>
      </c>
      <c r="N290" s="12">
        <f>+M290/D290</f>
        <v>0.91731886832588816</v>
      </c>
      <c r="O290" s="10">
        <f>+D290-I290</f>
        <v>21755000</v>
      </c>
      <c r="P290" s="77"/>
      <c r="Q290" s="6" t="str">
        <f t="shared" si="132"/>
        <v>OKE</v>
      </c>
      <c r="R290" s="6"/>
    </row>
    <row r="291" spans="1:18" ht="15" hidden="1" thickBot="1" x14ac:dyDescent="0.25">
      <c r="A291" s="85"/>
      <c r="B291" s="85"/>
      <c r="C291" s="34" t="s">
        <v>31</v>
      </c>
      <c r="D291" s="35"/>
      <c r="E291" s="35"/>
      <c r="F291" s="35"/>
      <c r="G291" s="259"/>
      <c r="H291" s="260"/>
      <c r="I291" s="259"/>
      <c r="J291" s="259"/>
      <c r="K291" s="259"/>
      <c r="L291" s="261"/>
      <c r="M291" s="261"/>
      <c r="N291" s="261"/>
      <c r="O291" s="261"/>
      <c r="P291" s="77"/>
      <c r="Q291" s="6" t="str">
        <f t="shared" si="132"/>
        <v>OKE</v>
      </c>
      <c r="R291" s="6"/>
    </row>
    <row r="292" spans="1:18" ht="15" hidden="1" thickBot="1" x14ac:dyDescent="0.25">
      <c r="A292" s="74"/>
      <c r="B292" s="74"/>
      <c r="C292" s="76"/>
      <c r="D292" s="15"/>
      <c r="E292" s="15"/>
      <c r="F292" s="15"/>
      <c r="G292" s="80"/>
      <c r="H292" s="79"/>
      <c r="I292" s="80"/>
      <c r="J292" s="80"/>
      <c r="K292" s="80"/>
      <c r="L292" s="76"/>
      <c r="M292" s="76"/>
      <c r="N292" s="76"/>
      <c r="O292" s="76"/>
      <c r="P292" s="77"/>
      <c r="Q292" s="6" t="str">
        <f t="shared" si="132"/>
        <v>OKE</v>
      </c>
      <c r="R292" s="6"/>
    </row>
    <row r="293" spans="1:18" ht="15" hidden="1" thickBot="1" x14ac:dyDescent="0.25">
      <c r="A293" s="7" t="s">
        <v>32</v>
      </c>
      <c r="B293" s="7" t="s">
        <v>33</v>
      </c>
      <c r="C293" s="9" t="s">
        <v>83</v>
      </c>
      <c r="D293" s="10">
        <f>+D296</f>
        <v>75000000</v>
      </c>
      <c r="E293" s="10"/>
      <c r="F293" s="10"/>
      <c r="G293" s="10">
        <f>+G296</f>
        <v>45335300</v>
      </c>
      <c r="H293" s="11">
        <f>+H296</f>
        <v>26800000</v>
      </c>
      <c r="I293" s="10">
        <f>+G293+H293</f>
        <v>72135300</v>
      </c>
      <c r="J293" s="12">
        <f>+I293/D293</f>
        <v>0.96180399999999999</v>
      </c>
      <c r="K293" s="10">
        <f>+K296</f>
        <v>43643800</v>
      </c>
      <c r="L293" s="10">
        <f>+L296</f>
        <v>24769900</v>
      </c>
      <c r="M293" s="10">
        <f>+K293+L293</f>
        <v>68413700</v>
      </c>
      <c r="N293" s="12">
        <f>+M293/D293</f>
        <v>0.9121826666666667</v>
      </c>
      <c r="O293" s="10">
        <f>+D293-I293</f>
        <v>2864700</v>
      </c>
      <c r="P293" s="77"/>
      <c r="Q293" s="6" t="str">
        <f t="shared" si="132"/>
        <v>OKE</v>
      </c>
      <c r="R293" s="6"/>
    </row>
    <row r="294" spans="1:18" ht="15" hidden="1" thickBot="1" x14ac:dyDescent="0.25">
      <c r="A294" s="74"/>
      <c r="B294" s="74"/>
      <c r="C294" s="9" t="s">
        <v>49</v>
      </c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2"/>
        <v>OKE</v>
      </c>
      <c r="R294" s="6"/>
    </row>
    <row r="295" spans="1:18" ht="15" hidden="1" thickBot="1" x14ac:dyDescent="0.25">
      <c r="A295" s="74"/>
      <c r="B295" s="74"/>
      <c r="C295" s="76"/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32"/>
        <v>OKE</v>
      </c>
      <c r="R295" s="6"/>
    </row>
    <row r="296" spans="1:18" ht="15" hidden="1" thickBot="1" x14ac:dyDescent="0.25">
      <c r="A296" s="74">
        <v>5</v>
      </c>
      <c r="B296" s="75" t="s">
        <v>34</v>
      </c>
      <c r="C296" s="8" t="s">
        <v>35</v>
      </c>
      <c r="D296" s="15">
        <v>75000000</v>
      </c>
      <c r="E296" s="15"/>
      <c r="F296" s="15"/>
      <c r="G296" s="80">
        <v>45335300</v>
      </c>
      <c r="H296" s="79">
        <v>26800000</v>
      </c>
      <c r="I296" s="15">
        <f>+G296+H296</f>
        <v>72135300</v>
      </c>
      <c r="J296" s="16">
        <f>+I296/D296</f>
        <v>0.96180399999999999</v>
      </c>
      <c r="K296" s="80">
        <v>43643800</v>
      </c>
      <c r="L296" s="80">
        <v>24769900</v>
      </c>
      <c r="M296" s="80">
        <f>+K296+L296</f>
        <v>68413700</v>
      </c>
      <c r="N296" s="16">
        <f>+M296/D296</f>
        <v>0.9121826666666667</v>
      </c>
      <c r="O296" s="80">
        <f>+D296-I296</f>
        <v>2864700</v>
      </c>
      <c r="P296" s="77"/>
      <c r="Q296" s="6" t="str">
        <f t="shared" si="132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2"/>
        <v>OKE</v>
      </c>
      <c r="R297" s="6"/>
    </row>
    <row r="298" spans="1:18" ht="15" hidden="1" thickBot="1" x14ac:dyDescent="0.25">
      <c r="A298" s="74"/>
      <c r="B298" s="74"/>
      <c r="C298" s="9" t="s">
        <v>65</v>
      </c>
      <c r="D298" s="10">
        <f>+D296</f>
        <v>75000000</v>
      </c>
      <c r="E298" s="10"/>
      <c r="F298" s="10"/>
      <c r="G298" s="10">
        <f>+G296</f>
        <v>45335300</v>
      </c>
      <c r="H298" s="11">
        <f>+H296</f>
        <v>26800000</v>
      </c>
      <c r="I298" s="10">
        <f>+G298+H298</f>
        <v>72135300</v>
      </c>
      <c r="J298" s="12">
        <f>+I298/D298</f>
        <v>0.96180399999999999</v>
      </c>
      <c r="K298" s="10">
        <f>+K296</f>
        <v>43643800</v>
      </c>
      <c r="L298" s="10">
        <f>+L296</f>
        <v>24769900</v>
      </c>
      <c r="M298" s="10">
        <f>+K298+L298</f>
        <v>68413700</v>
      </c>
      <c r="N298" s="12">
        <f>+M298/D298</f>
        <v>0.9121826666666667</v>
      </c>
      <c r="O298" s="10">
        <f>+D298-I298</f>
        <v>2864700</v>
      </c>
      <c r="P298" s="77"/>
      <c r="Q298" s="6" t="str">
        <f t="shared" si="132"/>
        <v>OKE</v>
      </c>
      <c r="R298" s="6"/>
    </row>
    <row r="299" spans="1:18" ht="15" hidden="1" thickBot="1" x14ac:dyDescent="0.25">
      <c r="A299" s="81"/>
      <c r="B299" s="81"/>
      <c r="C299" s="23" t="s">
        <v>66</v>
      </c>
      <c r="D299" s="32"/>
      <c r="E299" s="32"/>
      <c r="F299" s="32"/>
      <c r="G299" s="252"/>
      <c r="H299" s="253"/>
      <c r="I299" s="252"/>
      <c r="J299" s="252"/>
      <c r="K299" s="252"/>
      <c r="L299" s="251"/>
      <c r="M299" s="251"/>
      <c r="N299" s="251"/>
      <c r="O299" s="251"/>
      <c r="P299" s="77"/>
      <c r="Q299" s="6" t="str">
        <f t="shared" si="132"/>
        <v>OKE</v>
      </c>
      <c r="R299" s="6"/>
    </row>
    <row r="300" spans="1:18" ht="15" hidden="1" thickBot="1" x14ac:dyDescent="0.25">
      <c r="B300" s="88"/>
      <c r="C300" s="77"/>
      <c r="D300" s="31"/>
      <c r="E300" s="31"/>
      <c r="F300" s="31"/>
      <c r="G300" s="179"/>
      <c r="H300" s="258"/>
      <c r="I300" s="179"/>
      <c r="J300" s="179"/>
      <c r="K300" s="179"/>
      <c r="L300" s="77"/>
      <c r="M300" s="77"/>
      <c r="N300" s="77"/>
      <c r="O300" s="77"/>
      <c r="P300" s="77"/>
      <c r="Q300" s="6" t="str">
        <f t="shared" si="132"/>
        <v>OKE</v>
      </c>
      <c r="R300" s="6"/>
    </row>
    <row r="301" spans="1:18" ht="15" hidden="1" thickBot="1" x14ac:dyDescent="0.25">
      <c r="B301" s="88"/>
      <c r="C301" s="77"/>
      <c r="D301" s="31"/>
      <c r="E301" s="31"/>
      <c r="F301" s="31"/>
      <c r="G301" s="179"/>
      <c r="H301" s="258"/>
      <c r="I301" s="179"/>
      <c r="J301" s="179"/>
      <c r="K301" s="179"/>
      <c r="L301" s="77"/>
      <c r="M301" s="77"/>
      <c r="N301" s="77"/>
      <c r="O301" s="77"/>
      <c r="P301" s="77"/>
      <c r="Q301" s="6" t="str">
        <f t="shared" si="132"/>
        <v>OKE</v>
      </c>
      <c r="R301" s="6"/>
    </row>
    <row r="302" spans="1:18" ht="15" hidden="1" thickBot="1" x14ac:dyDescent="0.25">
      <c r="A302" s="77"/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2"/>
        <v>OKE</v>
      </c>
      <c r="R302" s="6"/>
    </row>
    <row r="303" spans="1:18" ht="15" hidden="1" thickBot="1" x14ac:dyDescent="0.25">
      <c r="A303" s="77"/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2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2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2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2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2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ref="Q308:Q371" si="136">IF(M308&lt;=I308,"OKE","Salah")</f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6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36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36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36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36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36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36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36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36"/>
        <v>OKE</v>
      </c>
      <c r="R317" s="6"/>
    </row>
    <row r="318" spans="1:18" ht="15" hidden="1" thickBot="1" x14ac:dyDescent="0.25"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36"/>
        <v>OKE</v>
      </c>
      <c r="R318" s="6"/>
    </row>
    <row r="319" spans="1:18" ht="15" hidden="1" thickBot="1" x14ac:dyDescent="0.25"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36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36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36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36"/>
        <v>OKE</v>
      </c>
      <c r="R322" s="6"/>
    </row>
    <row r="323" spans="1:18" ht="15" hidden="1" thickBot="1" x14ac:dyDescent="0.25">
      <c r="A323" s="407"/>
      <c r="B323" s="407"/>
      <c r="C323" s="407"/>
      <c r="D323" s="407"/>
      <c r="E323" s="407"/>
      <c r="F323" s="407"/>
      <c r="G323" s="407"/>
      <c r="H323" s="407"/>
      <c r="I323" s="407"/>
      <c r="J323" s="407"/>
      <c r="K323" s="407"/>
      <c r="L323" s="407"/>
      <c r="M323" s="407"/>
      <c r="N323" s="407"/>
      <c r="O323" s="407"/>
      <c r="P323" s="77"/>
      <c r="Q323" s="6" t="str">
        <f t="shared" si="136"/>
        <v>OKE</v>
      </c>
      <c r="R323" s="6"/>
    </row>
    <row r="324" spans="1:18" ht="14.1" hidden="1" customHeight="1" x14ac:dyDescent="0.2">
      <c r="A324" s="361" t="s">
        <v>2</v>
      </c>
      <c r="B324" s="361" t="s">
        <v>3</v>
      </c>
      <c r="C324" s="361" t="s">
        <v>4</v>
      </c>
      <c r="D324" s="361" t="s">
        <v>5</v>
      </c>
      <c r="E324" s="197"/>
      <c r="F324" s="197"/>
      <c r="G324" s="358" t="s">
        <v>11</v>
      </c>
      <c r="H324" s="359"/>
      <c r="I324" s="359"/>
      <c r="J324" s="360"/>
      <c r="K324" s="358" t="s">
        <v>9</v>
      </c>
      <c r="L324" s="359"/>
      <c r="M324" s="359"/>
      <c r="N324" s="360"/>
      <c r="O324" s="361" t="s">
        <v>10</v>
      </c>
      <c r="P324" s="77"/>
      <c r="Q324" s="6" t="str">
        <f t="shared" si="136"/>
        <v>OKE</v>
      </c>
      <c r="R324" s="6"/>
    </row>
    <row r="325" spans="1:18" ht="14.1" hidden="1" customHeight="1" x14ac:dyDescent="0.2">
      <c r="A325" s="362"/>
      <c r="B325" s="362"/>
      <c r="C325" s="362"/>
      <c r="D325" s="362"/>
      <c r="E325" s="44"/>
      <c r="F325" s="44"/>
      <c r="G325" s="358" t="s">
        <v>74</v>
      </c>
      <c r="H325" s="359"/>
      <c r="I325" s="359"/>
      <c r="J325" s="360"/>
      <c r="K325" s="358" t="s">
        <v>12</v>
      </c>
      <c r="L325" s="359"/>
      <c r="M325" s="359"/>
      <c r="N325" s="360"/>
      <c r="O325" s="362"/>
      <c r="P325" s="77"/>
      <c r="Q325" s="6" t="str">
        <f t="shared" si="136"/>
        <v>OKE</v>
      </c>
      <c r="R325" s="6"/>
    </row>
    <row r="326" spans="1:18" ht="15" hidden="1" thickBot="1" x14ac:dyDescent="0.25">
      <c r="A326" s="378"/>
      <c r="B326" s="378"/>
      <c r="C326" s="378"/>
      <c r="D326" s="378"/>
      <c r="E326" s="196"/>
      <c r="F326" s="196"/>
      <c r="G326" s="144" t="s">
        <v>13</v>
      </c>
      <c r="H326" s="145" t="s">
        <v>14</v>
      </c>
      <c r="I326" s="144" t="s">
        <v>15</v>
      </c>
      <c r="J326" s="144" t="s">
        <v>16</v>
      </c>
      <c r="K326" s="144" t="s">
        <v>13</v>
      </c>
      <c r="L326" s="144" t="s">
        <v>14</v>
      </c>
      <c r="M326" s="144" t="s">
        <v>15</v>
      </c>
      <c r="N326" s="144" t="s">
        <v>16</v>
      </c>
      <c r="O326" s="378"/>
      <c r="P326" s="77"/>
      <c r="Q326" s="6" t="str">
        <f t="shared" si="136"/>
        <v>OKE</v>
      </c>
      <c r="R326" s="6"/>
    </row>
    <row r="327" spans="1:18" ht="15" hidden="1" thickBot="1" x14ac:dyDescent="0.25">
      <c r="A327" s="2">
        <v>1</v>
      </c>
      <c r="B327" s="2">
        <v>2</v>
      </c>
      <c r="C327" s="2">
        <v>3</v>
      </c>
      <c r="D327" s="2">
        <v>4</v>
      </c>
      <c r="E327" s="2"/>
      <c r="F327" s="2"/>
      <c r="G327" s="2">
        <v>5</v>
      </c>
      <c r="H327" s="145">
        <v>6</v>
      </c>
      <c r="I327" s="45" t="s">
        <v>77</v>
      </c>
      <c r="J327" s="45" t="s">
        <v>78</v>
      </c>
      <c r="K327" s="45">
        <v>9</v>
      </c>
      <c r="L327" s="45">
        <v>10</v>
      </c>
      <c r="M327" s="45" t="s">
        <v>79</v>
      </c>
      <c r="N327" s="45" t="s">
        <v>80</v>
      </c>
      <c r="O327" s="45" t="s">
        <v>81</v>
      </c>
      <c r="P327" s="77"/>
      <c r="Q327" s="6" t="str">
        <f t="shared" si="136"/>
        <v>OKE</v>
      </c>
      <c r="R327" s="6"/>
    </row>
    <row r="328" spans="1:18" ht="15" hidden="1" thickBot="1" x14ac:dyDescent="0.25">
      <c r="A328" s="74"/>
      <c r="B328" s="76"/>
      <c r="C328" s="76"/>
      <c r="D328" s="8"/>
      <c r="E328" s="8"/>
      <c r="F328" s="8"/>
      <c r="G328" s="76"/>
      <c r="H328" s="82"/>
      <c r="I328" s="76"/>
      <c r="J328" s="76"/>
      <c r="K328" s="76"/>
      <c r="L328" s="76"/>
      <c r="M328" s="76"/>
      <c r="N328" s="241"/>
      <c r="O328" s="241"/>
      <c r="P328" s="77"/>
      <c r="Q328" s="6" t="str">
        <f t="shared" si="136"/>
        <v>OKE</v>
      </c>
      <c r="R328" s="6"/>
    </row>
    <row r="329" spans="1:18" ht="15" hidden="1" thickBot="1" x14ac:dyDescent="0.25">
      <c r="A329" s="74"/>
      <c r="B329" s="76"/>
      <c r="C329" s="244" t="s">
        <v>82</v>
      </c>
      <c r="D329" s="8"/>
      <c r="E329" s="8"/>
      <c r="F329" s="8"/>
      <c r="G329" s="76"/>
      <c r="H329" s="82"/>
      <c r="I329" s="76"/>
      <c r="J329" s="76"/>
      <c r="K329" s="76"/>
      <c r="L329" s="76"/>
      <c r="M329" s="76"/>
      <c r="N329" s="76"/>
      <c r="O329" s="76"/>
      <c r="P329" s="77"/>
      <c r="Q329" s="6" t="str">
        <f t="shared" si="136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76"/>
      <c r="O330" s="76"/>
      <c r="P330" s="77"/>
      <c r="Q330" s="6" t="str">
        <f t="shared" si="136"/>
        <v>OKE</v>
      </c>
      <c r="R330" s="6"/>
    </row>
    <row r="331" spans="1:18" ht="15" hidden="1" thickBot="1" x14ac:dyDescent="0.25">
      <c r="A331" s="7" t="s">
        <v>38</v>
      </c>
      <c r="B331" s="7" t="s">
        <v>75</v>
      </c>
      <c r="C331" s="9" t="s">
        <v>84</v>
      </c>
      <c r="D331" s="10">
        <f>+D334+D337+D339+D341</f>
        <v>253000000</v>
      </c>
      <c r="E331" s="10"/>
      <c r="F331" s="10"/>
      <c r="G331" s="10">
        <f>+G334+G337+G339+G341</f>
        <v>196063600</v>
      </c>
      <c r="H331" s="11">
        <f>+H334+H337+H339+H341</f>
        <v>54435500</v>
      </c>
      <c r="I331" s="10">
        <f>+G331+H331</f>
        <v>250499100</v>
      </c>
      <c r="J331" s="12">
        <f>+I331/D331</f>
        <v>0.99011501976284588</v>
      </c>
      <c r="K331" s="10">
        <f>+K334+K337+K339+K341</f>
        <v>195569100</v>
      </c>
      <c r="L331" s="10">
        <f>+L334+L337+L339+L341</f>
        <v>54908000</v>
      </c>
      <c r="M331" s="10">
        <f>+K331+L331</f>
        <v>250477100</v>
      </c>
      <c r="N331" s="12">
        <f>+M331/D331</f>
        <v>0.9900280632411067</v>
      </c>
      <c r="O331" s="10">
        <f>+D331-I331</f>
        <v>2500900</v>
      </c>
      <c r="P331" s="77"/>
      <c r="Q331" s="6" t="str">
        <f t="shared" si="136"/>
        <v>OKE</v>
      </c>
      <c r="R331" s="6"/>
    </row>
    <row r="332" spans="1:18" ht="15" hidden="1" thickBot="1" x14ac:dyDescent="0.25">
      <c r="A332" s="74"/>
      <c r="B332" s="74"/>
      <c r="C332" s="9" t="s">
        <v>85</v>
      </c>
      <c r="D332" s="15"/>
      <c r="E332" s="15"/>
      <c r="F332" s="15"/>
      <c r="G332" s="80"/>
      <c r="H332" s="79"/>
      <c r="I332" s="80"/>
      <c r="J332" s="80"/>
      <c r="K332" s="80"/>
      <c r="L332" s="76"/>
      <c r="M332" s="76"/>
      <c r="N332" s="76"/>
      <c r="O332" s="76"/>
      <c r="P332" s="77"/>
      <c r="Q332" s="6" t="str">
        <f t="shared" si="136"/>
        <v>OKE</v>
      </c>
      <c r="R332" s="6"/>
    </row>
    <row r="333" spans="1:18" ht="15" hidden="1" thickBot="1" x14ac:dyDescent="0.25">
      <c r="A333" s="74"/>
      <c r="B333" s="74"/>
      <c r="C333" s="76"/>
      <c r="D333" s="15"/>
      <c r="E333" s="15"/>
      <c r="F333" s="15"/>
      <c r="G333" s="80"/>
      <c r="H333" s="79"/>
      <c r="I333" s="80"/>
      <c r="J333" s="80"/>
      <c r="K333" s="80"/>
      <c r="L333" s="76"/>
      <c r="M333" s="76"/>
      <c r="N333" s="76"/>
      <c r="O333" s="76"/>
      <c r="P333" s="77"/>
      <c r="Q333" s="6" t="str">
        <f t="shared" si="136"/>
        <v>OKE</v>
      </c>
      <c r="R333" s="6"/>
    </row>
    <row r="334" spans="1:18" ht="15" hidden="1" thickBot="1" x14ac:dyDescent="0.25">
      <c r="A334" s="74">
        <v>6</v>
      </c>
      <c r="B334" s="75" t="s">
        <v>39</v>
      </c>
      <c r="C334" s="8" t="s">
        <v>86</v>
      </c>
      <c r="D334" s="15">
        <v>38000000</v>
      </c>
      <c r="E334" s="15"/>
      <c r="F334" s="15"/>
      <c r="G334" s="80">
        <v>37612500</v>
      </c>
      <c r="H334" s="79">
        <v>0</v>
      </c>
      <c r="I334" s="15">
        <f>+G334+H334</f>
        <v>37612500</v>
      </c>
      <c r="J334" s="16">
        <f>+I334/D334</f>
        <v>0.98980263157894732</v>
      </c>
      <c r="K334" s="80">
        <v>37612500</v>
      </c>
      <c r="L334" s="80">
        <v>0</v>
      </c>
      <c r="M334" s="80">
        <f>+K334+L334</f>
        <v>37612500</v>
      </c>
      <c r="N334" s="16">
        <f>+M334/D334</f>
        <v>0.98980263157894732</v>
      </c>
      <c r="O334" s="80">
        <f>+D334-I334</f>
        <v>387500</v>
      </c>
      <c r="P334" s="77"/>
      <c r="Q334" s="6" t="str">
        <f t="shared" si="136"/>
        <v>OKE</v>
      </c>
      <c r="R334" s="6"/>
    </row>
    <row r="335" spans="1:18" ht="15" hidden="1" thickBot="1" x14ac:dyDescent="0.25">
      <c r="A335" s="74"/>
      <c r="B335" s="74"/>
      <c r="C335" s="8" t="s">
        <v>52</v>
      </c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36"/>
        <v>OKE</v>
      </c>
      <c r="R335" s="6"/>
    </row>
    <row r="336" spans="1:18" ht="15" hidden="1" thickBot="1" x14ac:dyDescent="0.25">
      <c r="A336" s="74"/>
      <c r="B336" s="74"/>
      <c r="C336" s="8"/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36"/>
        <v>OKE</v>
      </c>
      <c r="R336" s="6"/>
    </row>
    <row r="337" spans="1:18" ht="15" hidden="1" thickBot="1" x14ac:dyDescent="0.25">
      <c r="A337" s="74">
        <v>7</v>
      </c>
      <c r="B337" s="75" t="s">
        <v>42</v>
      </c>
      <c r="C337" s="8" t="s">
        <v>53</v>
      </c>
      <c r="D337" s="15">
        <v>60000000</v>
      </c>
      <c r="E337" s="15"/>
      <c r="F337" s="15"/>
      <c r="G337" s="80">
        <v>59091100</v>
      </c>
      <c r="H337" s="79">
        <v>0</v>
      </c>
      <c r="I337" s="15">
        <f>+G337+H337</f>
        <v>59091100</v>
      </c>
      <c r="J337" s="16">
        <f>+I337/D337</f>
        <v>0.98485166666666668</v>
      </c>
      <c r="K337" s="80">
        <v>59091100</v>
      </c>
      <c r="L337" s="80">
        <v>0</v>
      </c>
      <c r="M337" s="80">
        <f>+K337+L337</f>
        <v>59091100</v>
      </c>
      <c r="N337" s="16">
        <f>+M337/D337</f>
        <v>0.98485166666666668</v>
      </c>
      <c r="O337" s="80">
        <f>+D337-I337</f>
        <v>908900</v>
      </c>
      <c r="P337" s="77"/>
      <c r="Q337" s="6" t="str">
        <f t="shared" si="136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36"/>
        <v>OKE</v>
      </c>
      <c r="R338" s="6"/>
    </row>
    <row r="339" spans="1:18" ht="15" hidden="1" thickBot="1" x14ac:dyDescent="0.25">
      <c r="A339" s="74">
        <v>8</v>
      </c>
      <c r="B339" s="75" t="s">
        <v>24</v>
      </c>
      <c r="C339" s="8" t="s">
        <v>87</v>
      </c>
      <c r="D339" s="15">
        <v>65000000</v>
      </c>
      <c r="E339" s="15"/>
      <c r="F339" s="15"/>
      <c r="G339" s="80">
        <v>38340000</v>
      </c>
      <c r="H339" s="79">
        <v>25460000</v>
      </c>
      <c r="I339" s="15">
        <f>+G339+H339</f>
        <v>63800000</v>
      </c>
      <c r="J339" s="16">
        <f>+I339/D339</f>
        <v>0.98153846153846158</v>
      </c>
      <c r="K339" s="80">
        <v>37852500</v>
      </c>
      <c r="L339" s="80">
        <v>25932500</v>
      </c>
      <c r="M339" s="80">
        <f>+K339+L339</f>
        <v>63785000</v>
      </c>
      <c r="N339" s="16">
        <f>+M339/D339</f>
        <v>0.98130769230769233</v>
      </c>
      <c r="O339" s="80">
        <f>+D339-I339</f>
        <v>1200000</v>
      </c>
      <c r="P339" s="77"/>
      <c r="Q339" s="6" t="str">
        <f t="shared" si="136"/>
        <v>OKE</v>
      </c>
      <c r="R339" s="6"/>
    </row>
    <row r="340" spans="1:18" ht="15" hidden="1" thickBot="1" x14ac:dyDescent="0.25">
      <c r="A340" s="74"/>
      <c r="B340" s="76"/>
      <c r="C340" s="76"/>
      <c r="D340" s="8"/>
      <c r="E340" s="8"/>
      <c r="F340" s="8"/>
      <c r="G340" s="76"/>
      <c r="H340" s="82"/>
      <c r="I340" s="76"/>
      <c r="J340" s="76"/>
      <c r="K340" s="46"/>
      <c r="L340" s="76"/>
      <c r="M340" s="76"/>
      <c r="N340" s="76"/>
      <c r="O340" s="76"/>
      <c r="P340" s="77"/>
      <c r="Q340" s="6" t="str">
        <f t="shared" si="136"/>
        <v>OKE</v>
      </c>
      <c r="R340" s="6"/>
    </row>
    <row r="341" spans="1:18" ht="15" hidden="1" thickBot="1" x14ac:dyDescent="0.25">
      <c r="A341" s="74">
        <v>9</v>
      </c>
      <c r="B341" s="75" t="s">
        <v>40</v>
      </c>
      <c r="C341" s="76" t="s">
        <v>88</v>
      </c>
      <c r="D341" s="47">
        <v>90000000</v>
      </c>
      <c r="E341" s="47"/>
      <c r="F341" s="47"/>
      <c r="G341" s="80">
        <v>61020000</v>
      </c>
      <c r="H341" s="79">
        <v>28975500</v>
      </c>
      <c r="I341" s="15">
        <f>+G341+H341</f>
        <v>89995500</v>
      </c>
      <c r="J341" s="16">
        <f>+I341/D341</f>
        <v>0.99995000000000001</v>
      </c>
      <c r="K341" s="80">
        <v>61013000</v>
      </c>
      <c r="L341" s="80">
        <v>28975500</v>
      </c>
      <c r="M341" s="80">
        <f>+K341+L341</f>
        <v>89988500</v>
      </c>
      <c r="N341" s="48">
        <v>0.99980000000000002</v>
      </c>
      <c r="O341" s="80">
        <f>+D341-I341</f>
        <v>4500</v>
      </c>
      <c r="P341" s="77"/>
      <c r="Q341" s="6" t="str">
        <f t="shared" si="136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76"/>
      <c r="L342" s="76"/>
      <c r="M342" s="76"/>
      <c r="N342" s="76"/>
      <c r="O342" s="76"/>
      <c r="P342" s="77"/>
      <c r="Q342" s="6" t="str">
        <f t="shared" si="136"/>
        <v>OKE</v>
      </c>
      <c r="R342" s="6"/>
    </row>
    <row r="343" spans="1:18" ht="15" hidden="1" thickBot="1" x14ac:dyDescent="0.25">
      <c r="A343" s="74"/>
      <c r="B343" s="76"/>
      <c r="C343" s="9" t="s">
        <v>89</v>
      </c>
      <c r="D343" s="10">
        <f>+D341+D339+D337+D334</f>
        <v>253000000</v>
      </c>
      <c r="E343" s="10"/>
      <c r="F343" s="10"/>
      <c r="G343" s="10">
        <f>+G341+G339+G337+G334</f>
        <v>196063600</v>
      </c>
      <c r="H343" s="11">
        <f>+H341+H339+H337+H334</f>
        <v>54435500</v>
      </c>
      <c r="I343" s="10">
        <f>+G343+H343</f>
        <v>250499100</v>
      </c>
      <c r="J343" s="12">
        <f>+I343/D343</f>
        <v>0.99011501976284588</v>
      </c>
      <c r="K343" s="10">
        <f>+K341+K339+K337+K334</f>
        <v>195569100</v>
      </c>
      <c r="L343" s="10">
        <f>+L341+L339+L337+L334</f>
        <v>54908000</v>
      </c>
      <c r="M343" s="10">
        <f>+K343+L343</f>
        <v>250477100</v>
      </c>
      <c r="N343" s="12">
        <f>+M343/D343</f>
        <v>0.9900280632411067</v>
      </c>
      <c r="O343" s="10">
        <f>+D343-I343</f>
        <v>2500900</v>
      </c>
      <c r="P343" s="77"/>
      <c r="Q343" s="6" t="str">
        <f t="shared" si="136"/>
        <v>OKE</v>
      </c>
      <c r="R343" s="6"/>
    </row>
    <row r="344" spans="1:18" ht="15" hidden="1" thickBot="1" x14ac:dyDescent="0.25">
      <c r="A344" s="85"/>
      <c r="B344" s="261"/>
      <c r="C344" s="34" t="s">
        <v>90</v>
      </c>
      <c r="D344" s="49"/>
      <c r="E344" s="49"/>
      <c r="F344" s="49"/>
      <c r="G344" s="261"/>
      <c r="H344" s="262"/>
      <c r="I344" s="261"/>
      <c r="J344" s="261"/>
      <c r="K344" s="261"/>
      <c r="L344" s="261"/>
      <c r="M344" s="261"/>
      <c r="N344" s="261"/>
      <c r="O344" s="261"/>
      <c r="P344" s="77"/>
      <c r="Q344" s="6" t="str">
        <f t="shared" si="136"/>
        <v>OKE</v>
      </c>
      <c r="R344" s="6"/>
    </row>
    <row r="345" spans="1:18" ht="15" hidden="1" thickBot="1" x14ac:dyDescent="0.25">
      <c r="A345" s="74"/>
      <c r="B345" s="76"/>
      <c r="C345" s="76"/>
      <c r="D345" s="8"/>
      <c r="E345" s="8"/>
      <c r="F345" s="8"/>
      <c r="G345" s="76"/>
      <c r="H345" s="82"/>
      <c r="I345" s="76"/>
      <c r="J345" s="76"/>
      <c r="K345" s="76"/>
      <c r="L345" s="76"/>
      <c r="M345" s="76"/>
      <c r="N345" s="76"/>
      <c r="O345" s="76"/>
      <c r="P345" s="50"/>
      <c r="Q345" s="6" t="str">
        <f t="shared" si="136"/>
        <v>OKE</v>
      </c>
      <c r="R345" s="6"/>
    </row>
    <row r="346" spans="1:18" ht="15" hidden="1" thickBot="1" x14ac:dyDescent="0.25">
      <c r="A346" s="7" t="s">
        <v>41</v>
      </c>
      <c r="B346" s="7" t="s">
        <v>54</v>
      </c>
      <c r="C346" s="9" t="s">
        <v>91</v>
      </c>
      <c r="D346" s="10">
        <f>+D349</f>
        <v>105000000</v>
      </c>
      <c r="E346" s="10"/>
      <c r="F346" s="10"/>
      <c r="G346" s="10">
        <f>+G349</f>
        <v>105000000</v>
      </c>
      <c r="H346" s="11">
        <f>+H349</f>
        <v>0</v>
      </c>
      <c r="I346" s="10">
        <f>+G346+H346</f>
        <v>105000000</v>
      </c>
      <c r="J346" s="12">
        <f>+I346/D346</f>
        <v>1</v>
      </c>
      <c r="K346" s="10">
        <f>+K349</f>
        <v>104800000</v>
      </c>
      <c r="L346" s="10">
        <f>+L349</f>
        <v>0</v>
      </c>
      <c r="M346" s="10">
        <f>+K346+L346</f>
        <v>104800000</v>
      </c>
      <c r="N346" s="12">
        <f>+M346/D346</f>
        <v>0.99809523809523815</v>
      </c>
      <c r="O346" s="10">
        <f>+D346-I346</f>
        <v>0</v>
      </c>
      <c r="P346" s="5"/>
      <c r="Q346" s="6" t="str">
        <f t="shared" si="136"/>
        <v>OKE</v>
      </c>
      <c r="R346" s="6"/>
    </row>
    <row r="347" spans="1:18" ht="15" hidden="1" thickBot="1" x14ac:dyDescent="0.25">
      <c r="A347" s="74"/>
      <c r="B347" s="76"/>
      <c r="C347" s="9" t="s">
        <v>92</v>
      </c>
      <c r="D347" s="15"/>
      <c r="E347" s="15"/>
      <c r="F347" s="15"/>
      <c r="G347" s="80"/>
      <c r="H347" s="79"/>
      <c r="I347" s="80"/>
      <c r="J347" s="80"/>
      <c r="K347" s="80"/>
      <c r="L347" s="76"/>
      <c r="M347" s="76"/>
      <c r="N347" s="76"/>
      <c r="O347" s="76"/>
      <c r="P347" s="5"/>
      <c r="Q347" s="6" t="str">
        <f t="shared" si="136"/>
        <v>OKE</v>
      </c>
      <c r="R347" s="6"/>
    </row>
    <row r="348" spans="1:18" ht="15" hidden="1" thickBot="1" x14ac:dyDescent="0.25">
      <c r="A348" s="74"/>
      <c r="B348" s="76"/>
      <c r="C348" s="76"/>
      <c r="D348" s="15"/>
      <c r="E348" s="15"/>
      <c r="F348" s="15"/>
      <c r="G348" s="80"/>
      <c r="H348" s="79"/>
      <c r="I348" s="80"/>
      <c r="J348" s="80"/>
      <c r="K348" s="80"/>
      <c r="L348" s="76"/>
      <c r="M348" s="76"/>
      <c r="N348" s="76"/>
      <c r="O348" s="76"/>
      <c r="P348" s="5"/>
      <c r="Q348" s="6" t="str">
        <f t="shared" si="136"/>
        <v>OKE</v>
      </c>
      <c r="R348" s="6"/>
    </row>
    <row r="349" spans="1:18" ht="15" hidden="1" thickBot="1" x14ac:dyDescent="0.25">
      <c r="A349" s="74">
        <v>10</v>
      </c>
      <c r="B349" s="75" t="s">
        <v>43</v>
      </c>
      <c r="C349" s="8" t="s">
        <v>93</v>
      </c>
      <c r="D349" s="15">
        <v>105000000</v>
      </c>
      <c r="E349" s="15"/>
      <c r="F349" s="15"/>
      <c r="G349" s="80">
        <v>105000000</v>
      </c>
      <c r="H349" s="79">
        <v>0</v>
      </c>
      <c r="I349" s="15">
        <f>+G349+H349</f>
        <v>105000000</v>
      </c>
      <c r="J349" s="16">
        <f>+I349/D349</f>
        <v>1</v>
      </c>
      <c r="K349" s="80">
        <v>104800000</v>
      </c>
      <c r="L349" s="80">
        <v>0</v>
      </c>
      <c r="M349" s="80">
        <f>+K349+L349</f>
        <v>104800000</v>
      </c>
      <c r="N349" s="16">
        <f>+M349/D349</f>
        <v>0.99809523809523815</v>
      </c>
      <c r="O349" s="80">
        <f>+D349-I349</f>
        <v>0</v>
      </c>
      <c r="P349" s="5"/>
      <c r="Q349" s="6" t="str">
        <f t="shared" si="136"/>
        <v>OKE</v>
      </c>
      <c r="R349" s="6"/>
    </row>
    <row r="350" spans="1:18" ht="15" hidden="1" thickBot="1" x14ac:dyDescent="0.25">
      <c r="A350" s="74"/>
      <c r="B350" s="74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36"/>
        <v>OKE</v>
      </c>
      <c r="R350" s="6"/>
    </row>
    <row r="351" spans="1:18" ht="15" hidden="1" thickBot="1" x14ac:dyDescent="0.25">
      <c r="A351" s="74"/>
      <c r="B351" s="74"/>
      <c r="C351" s="9" t="s">
        <v>94</v>
      </c>
      <c r="D351" s="10">
        <f>+D349</f>
        <v>105000000</v>
      </c>
      <c r="E351" s="10"/>
      <c r="F351" s="10"/>
      <c r="G351" s="10">
        <f>+G349</f>
        <v>105000000</v>
      </c>
      <c r="H351" s="11">
        <f>+H349</f>
        <v>0</v>
      </c>
      <c r="I351" s="10">
        <f>+G351+H351</f>
        <v>105000000</v>
      </c>
      <c r="J351" s="12">
        <f>+I351/D351</f>
        <v>1</v>
      </c>
      <c r="K351" s="10">
        <f>+K349</f>
        <v>104800000</v>
      </c>
      <c r="L351" s="10">
        <f>+L349</f>
        <v>0</v>
      </c>
      <c r="M351" s="10">
        <f>+K351+L351</f>
        <v>104800000</v>
      </c>
      <c r="N351" s="12">
        <f>+M351/D351</f>
        <v>0.99809523809523815</v>
      </c>
      <c r="O351" s="10">
        <f>+D351-I351</f>
        <v>0</v>
      </c>
      <c r="P351" s="5"/>
      <c r="Q351" s="6" t="str">
        <f t="shared" si="136"/>
        <v>OKE</v>
      </c>
      <c r="R351" s="6"/>
    </row>
    <row r="352" spans="1:18" ht="15" hidden="1" thickBot="1" x14ac:dyDescent="0.25">
      <c r="A352" s="85"/>
      <c r="B352" s="85"/>
      <c r="C352" s="34" t="s">
        <v>55</v>
      </c>
      <c r="D352" s="35"/>
      <c r="E352" s="35"/>
      <c r="F352" s="35"/>
      <c r="G352" s="259"/>
      <c r="H352" s="260"/>
      <c r="I352" s="259"/>
      <c r="J352" s="259"/>
      <c r="K352" s="259"/>
      <c r="L352" s="261"/>
      <c r="M352" s="261"/>
      <c r="N352" s="261"/>
      <c r="O352" s="261"/>
      <c r="P352" s="5"/>
      <c r="Q352" s="6" t="str">
        <f t="shared" si="136"/>
        <v>OKE</v>
      </c>
      <c r="R352" s="6"/>
    </row>
    <row r="353" spans="1:18" ht="15" hidden="1" thickBot="1" x14ac:dyDescent="0.25">
      <c r="A353" s="91"/>
      <c r="B353" s="91"/>
      <c r="C353" s="51"/>
      <c r="D353" s="52"/>
      <c r="E353" s="52"/>
      <c r="F353" s="52"/>
      <c r="G353" s="263"/>
      <c r="H353" s="264"/>
      <c r="I353" s="263"/>
      <c r="J353" s="263"/>
      <c r="K353" s="263"/>
      <c r="L353" s="265"/>
      <c r="M353" s="265"/>
      <c r="N353" s="265"/>
      <c r="O353" s="265"/>
      <c r="P353" s="5"/>
      <c r="Q353" s="6" t="str">
        <f t="shared" si="136"/>
        <v>OKE</v>
      </c>
      <c r="R353" s="6"/>
    </row>
    <row r="354" spans="1:18" ht="15" hidden="1" thickBot="1" x14ac:dyDescent="0.25">
      <c r="A354" s="411" t="s">
        <v>95</v>
      </c>
      <c r="B354" s="411"/>
      <c r="C354" s="413" t="s">
        <v>96</v>
      </c>
      <c r="D354" s="415">
        <f>+D351+D343+D298+D290</f>
        <v>785575000</v>
      </c>
      <c r="E354" s="198"/>
      <c r="F354" s="198"/>
      <c r="G354" s="415">
        <f>+G351+G343+G298+G290</f>
        <v>476993900</v>
      </c>
      <c r="H354" s="417">
        <f>+H351+H343+H298+H290</f>
        <v>281460500</v>
      </c>
      <c r="I354" s="415">
        <f>+G354+H354</f>
        <v>758454400</v>
      </c>
      <c r="J354" s="419">
        <f>+I354/D354</f>
        <v>0.96547675269706901</v>
      </c>
      <c r="K354" s="415">
        <f>+K351+K343+K298+K290</f>
        <v>468063900</v>
      </c>
      <c r="L354" s="415">
        <f>+L351+L343+L298+L290</f>
        <v>279050600</v>
      </c>
      <c r="M354" s="421">
        <f>+K354+L354</f>
        <v>747114500</v>
      </c>
      <c r="N354" s="423">
        <f>+M354/D354</f>
        <v>0.95104159373707153</v>
      </c>
      <c r="O354" s="421">
        <f>+D354-I354</f>
        <v>27120600</v>
      </c>
      <c r="P354" s="5"/>
      <c r="Q354" s="6" t="str">
        <f t="shared" si="136"/>
        <v>OKE</v>
      </c>
      <c r="R354" s="6"/>
    </row>
    <row r="355" spans="1:18" ht="15" hidden="1" thickBot="1" x14ac:dyDescent="0.25">
      <c r="A355" s="412"/>
      <c r="B355" s="412"/>
      <c r="C355" s="414"/>
      <c r="D355" s="416"/>
      <c r="E355" s="199"/>
      <c r="F355" s="199"/>
      <c r="G355" s="416"/>
      <c r="H355" s="418"/>
      <c r="I355" s="416"/>
      <c r="J355" s="420"/>
      <c r="K355" s="416"/>
      <c r="L355" s="416"/>
      <c r="M355" s="422"/>
      <c r="N355" s="424"/>
      <c r="O355" s="422"/>
      <c r="P355" s="5"/>
      <c r="Q355" s="6" t="str">
        <f t="shared" si="136"/>
        <v>OKE</v>
      </c>
      <c r="R355" s="6"/>
    </row>
    <row r="356" spans="1:18" ht="15" hidden="1" thickBot="1" x14ac:dyDescent="0.25">
      <c r="A356" s="90"/>
      <c r="B356" s="90"/>
      <c r="C356" s="37"/>
      <c r="D356" s="37"/>
      <c r="E356" s="37"/>
      <c r="F356" s="37"/>
      <c r="G356" s="90"/>
      <c r="H356" s="266"/>
      <c r="I356" s="90"/>
      <c r="J356" s="90"/>
      <c r="K356" s="90"/>
      <c r="L356" s="267"/>
      <c r="M356" s="90"/>
      <c r="N356" s="90"/>
      <c r="O356" s="90"/>
      <c r="P356" s="5"/>
      <c r="Q356" s="6" t="str">
        <f t="shared" si="136"/>
        <v>OKE</v>
      </c>
      <c r="R356" s="6"/>
    </row>
    <row r="357" spans="1:18" ht="15" hidden="1" thickBot="1" x14ac:dyDescent="0.25">
      <c r="A357" s="90"/>
      <c r="B357" s="90"/>
      <c r="C357" s="37"/>
      <c r="D357" s="37"/>
      <c r="E357" s="37"/>
      <c r="F357" s="37"/>
      <c r="G357" s="90"/>
      <c r="H357" s="266"/>
      <c r="I357" s="90"/>
      <c r="J357" s="90"/>
      <c r="K357" s="90"/>
      <c r="L357" s="267"/>
      <c r="M357" s="90"/>
      <c r="N357" s="90"/>
      <c r="O357" s="90"/>
      <c r="P357" s="5"/>
      <c r="Q357" s="6" t="str">
        <f t="shared" si="136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36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36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36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36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36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36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36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36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36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36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36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36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36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36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ref="Q372:Q435" si="137">IF(M372&lt;=I372,"OKE","Salah")</f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37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si="137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37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37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37"/>
        <v>OKE</v>
      </c>
      <c r="R377" s="6"/>
    </row>
    <row r="378" spans="1:18" ht="14.1" hidden="1" customHeight="1" x14ac:dyDescent="0.2">
      <c r="A378" s="410" t="s">
        <v>0</v>
      </c>
      <c r="B378" s="410"/>
      <c r="C378" s="410"/>
      <c r="D378" s="410"/>
      <c r="E378" s="410"/>
      <c r="F378" s="410"/>
      <c r="G378" s="410"/>
      <c r="H378" s="410"/>
      <c r="I378" s="410"/>
      <c r="J378" s="410"/>
      <c r="K378" s="410"/>
      <c r="L378" s="410"/>
      <c r="M378" s="410"/>
      <c r="N378" s="410"/>
      <c r="O378" s="410"/>
      <c r="P378" s="5"/>
      <c r="Q378" s="6" t="str">
        <f t="shared" si="137"/>
        <v>OKE</v>
      </c>
      <c r="R378" s="6"/>
    </row>
    <row r="379" spans="1:18" ht="14.1" hidden="1" customHeight="1" x14ac:dyDescent="0.2">
      <c r="A379" s="410" t="s">
        <v>1</v>
      </c>
      <c r="B379" s="410"/>
      <c r="C379" s="410"/>
      <c r="D379" s="410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5"/>
      <c r="Q379" s="6" t="str">
        <f t="shared" si="137"/>
        <v>OKE</v>
      </c>
      <c r="R379" s="6"/>
    </row>
    <row r="380" spans="1:18" ht="14.1" hidden="1" customHeight="1" x14ac:dyDescent="0.2">
      <c r="A380" s="407" t="s">
        <v>111</v>
      </c>
      <c r="B380" s="407"/>
      <c r="C380" s="407"/>
      <c r="D380" s="407"/>
      <c r="E380" s="407"/>
      <c r="F380" s="407"/>
      <c r="G380" s="407"/>
      <c r="H380" s="407"/>
      <c r="I380" s="407"/>
      <c r="J380" s="407"/>
      <c r="K380" s="407"/>
      <c r="L380" s="407"/>
      <c r="M380" s="407"/>
      <c r="N380" s="407"/>
      <c r="O380" s="407"/>
      <c r="P380" s="5"/>
      <c r="Q380" s="6" t="str">
        <f t="shared" si="137"/>
        <v>OKE</v>
      </c>
      <c r="R380" s="6"/>
    </row>
    <row r="381" spans="1:18" ht="14.1" hidden="1" customHeight="1" x14ac:dyDescent="0.2">
      <c r="A381" s="361" t="s">
        <v>2</v>
      </c>
      <c r="B381" s="361" t="s">
        <v>3</v>
      </c>
      <c r="C381" s="361" t="s">
        <v>4</v>
      </c>
      <c r="D381" s="361" t="s">
        <v>5</v>
      </c>
      <c r="E381" s="197"/>
      <c r="F381" s="197"/>
      <c r="G381" s="358" t="s">
        <v>11</v>
      </c>
      <c r="H381" s="359"/>
      <c r="I381" s="359"/>
      <c r="J381" s="360"/>
      <c r="K381" s="358" t="s">
        <v>9</v>
      </c>
      <c r="L381" s="359"/>
      <c r="M381" s="359"/>
      <c r="N381" s="360"/>
      <c r="O381" s="361" t="s">
        <v>10</v>
      </c>
      <c r="P381" s="5"/>
      <c r="Q381" s="6" t="str">
        <f t="shared" si="137"/>
        <v>OKE</v>
      </c>
      <c r="R381" s="6"/>
    </row>
    <row r="382" spans="1:18" ht="14.1" hidden="1" customHeight="1" x14ac:dyDescent="0.2">
      <c r="A382" s="362"/>
      <c r="B382" s="362"/>
      <c r="C382" s="362"/>
      <c r="D382" s="362"/>
      <c r="E382" s="44"/>
      <c r="F382" s="44"/>
      <c r="G382" s="358" t="s">
        <v>74</v>
      </c>
      <c r="H382" s="359"/>
      <c r="I382" s="359"/>
      <c r="J382" s="360"/>
      <c r="K382" s="358" t="s">
        <v>12</v>
      </c>
      <c r="L382" s="359"/>
      <c r="M382" s="359"/>
      <c r="N382" s="360"/>
      <c r="O382" s="362"/>
      <c r="P382" s="5"/>
      <c r="Q382" s="6" t="str">
        <f t="shared" si="137"/>
        <v>OKE</v>
      </c>
      <c r="R382" s="6"/>
    </row>
    <row r="383" spans="1:18" ht="15" hidden="1" thickBot="1" x14ac:dyDescent="0.25">
      <c r="A383" s="378"/>
      <c r="B383" s="378"/>
      <c r="C383" s="378"/>
      <c r="D383" s="378"/>
      <c r="E383" s="196"/>
      <c r="F383" s="196"/>
      <c r="G383" s="144" t="s">
        <v>13</v>
      </c>
      <c r="H383" s="145" t="s">
        <v>14</v>
      </c>
      <c r="I383" s="144" t="s">
        <v>15</v>
      </c>
      <c r="J383" s="144" t="s">
        <v>16</v>
      </c>
      <c r="K383" s="144" t="s">
        <v>13</v>
      </c>
      <c r="L383" s="144" t="s">
        <v>14</v>
      </c>
      <c r="M383" s="144" t="s">
        <v>15</v>
      </c>
      <c r="N383" s="144" t="s">
        <v>16</v>
      </c>
      <c r="O383" s="378"/>
      <c r="P383" s="5"/>
      <c r="Q383" s="6" t="str">
        <f t="shared" si="137"/>
        <v>OKE</v>
      </c>
      <c r="R383" s="6"/>
    </row>
    <row r="384" spans="1:18" ht="15" hidden="1" thickBot="1" x14ac:dyDescent="0.25">
      <c r="A384" s="2">
        <v>1</v>
      </c>
      <c r="B384" s="2">
        <v>2</v>
      </c>
      <c r="C384" s="2">
        <v>3</v>
      </c>
      <c r="D384" s="2">
        <v>4</v>
      </c>
      <c r="E384" s="2"/>
      <c r="F384" s="2"/>
      <c r="G384" s="2">
        <v>5</v>
      </c>
      <c r="H384" s="145">
        <v>6</v>
      </c>
      <c r="I384" s="45" t="s">
        <v>77</v>
      </c>
      <c r="J384" s="45" t="s">
        <v>78</v>
      </c>
      <c r="K384" s="45">
        <v>9</v>
      </c>
      <c r="L384" s="45">
        <v>10</v>
      </c>
      <c r="M384" s="45" t="s">
        <v>79</v>
      </c>
      <c r="N384" s="45" t="s">
        <v>80</v>
      </c>
      <c r="O384" s="45" t="s">
        <v>81</v>
      </c>
      <c r="P384" s="5"/>
      <c r="Q384" s="6" t="str">
        <f t="shared" si="137"/>
        <v>OKE</v>
      </c>
      <c r="R384" s="6"/>
    </row>
    <row r="385" spans="1:18" ht="15" hidden="1" thickBot="1" x14ac:dyDescent="0.25">
      <c r="A385" s="74"/>
      <c r="B385" s="76"/>
      <c r="C385" s="76"/>
      <c r="D385" s="8"/>
      <c r="E385" s="8"/>
      <c r="F385" s="8"/>
      <c r="G385" s="76"/>
      <c r="H385" s="82"/>
      <c r="I385" s="76"/>
      <c r="J385" s="76"/>
      <c r="K385" s="76"/>
      <c r="L385" s="76"/>
      <c r="M385" s="76"/>
      <c r="N385" s="241"/>
      <c r="O385" s="241"/>
      <c r="P385" s="5"/>
      <c r="Q385" s="6" t="str">
        <f t="shared" si="137"/>
        <v>OKE</v>
      </c>
      <c r="R385" s="6"/>
    </row>
    <row r="386" spans="1:18" ht="15" hidden="1" thickBot="1" x14ac:dyDescent="0.25">
      <c r="A386" s="74"/>
      <c r="B386" s="76"/>
      <c r="C386" s="244" t="s">
        <v>97</v>
      </c>
      <c r="D386" s="8"/>
      <c r="E386" s="8"/>
      <c r="F386" s="8"/>
      <c r="G386" s="76"/>
      <c r="H386" s="82"/>
      <c r="I386" s="76"/>
      <c r="J386" s="76"/>
      <c r="K386" s="76"/>
      <c r="L386" s="76"/>
      <c r="M386" s="76"/>
      <c r="N386" s="76"/>
      <c r="O386" s="76"/>
      <c r="P386" s="5"/>
      <c r="Q386" s="6" t="str">
        <f t="shared" si="137"/>
        <v>OKE</v>
      </c>
      <c r="R386" s="6"/>
    </row>
    <row r="387" spans="1:18" ht="15" hidden="1" thickBot="1" x14ac:dyDescent="0.25">
      <c r="A387" s="74"/>
      <c r="B387" s="74"/>
      <c r="C387" s="76"/>
      <c r="D387" s="53"/>
      <c r="E387" s="53"/>
      <c r="F387" s="53"/>
      <c r="G387" s="268"/>
      <c r="H387" s="269"/>
      <c r="I387" s="268"/>
      <c r="J387" s="268"/>
      <c r="K387" s="268"/>
      <c r="L387" s="76"/>
      <c r="M387" s="76"/>
      <c r="N387" s="76"/>
      <c r="O387" s="76"/>
      <c r="P387" s="5"/>
      <c r="Q387" s="6" t="str">
        <f t="shared" si="137"/>
        <v>OKE</v>
      </c>
      <c r="R387" s="6"/>
    </row>
    <row r="388" spans="1:18" ht="15" hidden="1" thickBot="1" x14ac:dyDescent="0.25">
      <c r="A388" s="7" t="s">
        <v>22</v>
      </c>
      <c r="B388" s="7" t="s">
        <v>23</v>
      </c>
      <c r="C388" s="9" t="s">
        <v>45</v>
      </c>
      <c r="D388" s="10">
        <f>+D390+D392+D397+D399+D401+D403+D405+D407</f>
        <v>268080000</v>
      </c>
      <c r="E388" s="10"/>
      <c r="F388" s="10"/>
      <c r="G388" s="10">
        <f>+G390+G392+G397+G399+G401+G403+G405+G407</f>
        <v>133763800</v>
      </c>
      <c r="H388" s="11">
        <f>+H390+H392+H397+H399+H401+H403+H405+H407</f>
        <v>8628300</v>
      </c>
      <c r="I388" s="10">
        <f>+G388+H388</f>
        <v>142392100</v>
      </c>
      <c r="J388" s="12">
        <f>+I388/D388</f>
        <v>0.53115525216353332</v>
      </c>
      <c r="K388" s="10">
        <f>+K390+K392+K397+K399+K401+K403+K405+K407</f>
        <v>114241700</v>
      </c>
      <c r="L388" s="10">
        <f>+L390+L392+L397+L399+L401+L403+L405+L407</f>
        <v>26474800</v>
      </c>
      <c r="M388" s="10">
        <f>+K388+L388</f>
        <v>140716500</v>
      </c>
      <c r="N388" s="12">
        <f>+M388/D388</f>
        <v>0.52490487914055506</v>
      </c>
      <c r="O388" s="10">
        <f>+D388-I388</f>
        <v>125687900</v>
      </c>
      <c r="P388" s="5"/>
      <c r="Q388" s="6" t="str">
        <f t="shared" si="137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37"/>
        <v>OKE</v>
      </c>
      <c r="R389" s="6"/>
    </row>
    <row r="390" spans="1:18" ht="15" hidden="1" thickBot="1" x14ac:dyDescent="0.25">
      <c r="A390" s="74">
        <v>1</v>
      </c>
      <c r="B390" s="75" t="s">
        <v>43</v>
      </c>
      <c r="C390" s="76" t="s">
        <v>98</v>
      </c>
      <c r="D390" s="15">
        <v>15000000</v>
      </c>
      <c r="E390" s="15"/>
      <c r="F390" s="15"/>
      <c r="G390" s="80">
        <v>11390500</v>
      </c>
      <c r="H390" s="79">
        <v>1097000</v>
      </c>
      <c r="I390" s="15">
        <f>+G390+H390</f>
        <v>12487500</v>
      </c>
      <c r="J390" s="16">
        <f>+I390/D390</f>
        <v>0.83250000000000002</v>
      </c>
      <c r="K390" s="80">
        <v>8898000</v>
      </c>
      <c r="L390" s="80">
        <v>1952000</v>
      </c>
      <c r="M390" s="80">
        <f>+K390+L390</f>
        <v>10850000</v>
      </c>
      <c r="N390" s="16">
        <f>+M390/D390</f>
        <v>0.72333333333333338</v>
      </c>
      <c r="O390" s="80">
        <f>+D390-I390</f>
        <v>2512500</v>
      </c>
      <c r="P390" s="5"/>
      <c r="Q390" s="6" t="str">
        <f t="shared" si="137"/>
        <v>OKE</v>
      </c>
      <c r="R390" s="6"/>
    </row>
    <row r="391" spans="1:18" ht="15" hidden="1" thickBot="1" x14ac:dyDescent="0.25">
      <c r="A391" s="74"/>
      <c r="B391" s="74"/>
      <c r="C391" s="76"/>
      <c r="D391" s="15"/>
      <c r="E391" s="15"/>
      <c r="F391" s="15"/>
      <c r="G391" s="80"/>
      <c r="H391" s="79"/>
      <c r="I391" s="80"/>
      <c r="J391" s="80"/>
      <c r="K391" s="80"/>
      <c r="L391" s="76"/>
      <c r="M391" s="76"/>
      <c r="N391" s="76"/>
      <c r="O391" s="76"/>
      <c r="P391" s="5"/>
      <c r="Q391" s="6" t="str">
        <f t="shared" si="137"/>
        <v>OKE</v>
      </c>
      <c r="R391" s="6"/>
    </row>
    <row r="392" spans="1:18" ht="15" hidden="1" thickBot="1" x14ac:dyDescent="0.25">
      <c r="A392" s="74">
        <v>2</v>
      </c>
      <c r="B392" s="75" t="s">
        <v>39</v>
      </c>
      <c r="C392" s="76" t="s">
        <v>50</v>
      </c>
      <c r="D392" s="15">
        <v>5000000</v>
      </c>
      <c r="E392" s="15"/>
      <c r="F392" s="15"/>
      <c r="G392" s="80">
        <v>4980000</v>
      </c>
      <c r="H392" s="79">
        <v>0</v>
      </c>
      <c r="I392" s="15">
        <f>+G392+H392</f>
        <v>4980000</v>
      </c>
      <c r="J392" s="16">
        <f>+I392/D392</f>
        <v>0.996</v>
      </c>
      <c r="K392" s="80">
        <v>3320000</v>
      </c>
      <c r="L392" s="80">
        <v>1660000</v>
      </c>
      <c r="M392" s="80">
        <f>+K392+L392</f>
        <v>4980000</v>
      </c>
      <c r="N392" s="16">
        <f>+M392/D392</f>
        <v>0.996</v>
      </c>
      <c r="O392" s="80">
        <f>+D392-I392</f>
        <v>20000</v>
      </c>
      <c r="P392" s="5"/>
      <c r="Q392" s="6" t="str">
        <f t="shared" si="137"/>
        <v>OKE</v>
      </c>
      <c r="R392" s="6"/>
    </row>
    <row r="393" spans="1:18" ht="15" hidden="1" thickBot="1" x14ac:dyDescent="0.25">
      <c r="A393" s="74"/>
      <c r="B393" s="75"/>
      <c r="C393" s="76"/>
      <c r="D393" s="15"/>
      <c r="E393" s="15"/>
      <c r="F393" s="15"/>
      <c r="G393" s="80"/>
      <c r="H393" s="79"/>
      <c r="I393" s="15"/>
      <c r="J393" s="16"/>
      <c r="K393" s="80"/>
      <c r="L393" s="80"/>
      <c r="M393" s="80"/>
      <c r="N393" s="16"/>
      <c r="O393" s="80"/>
      <c r="P393" s="5"/>
      <c r="Q393" s="6" t="str">
        <f t="shared" si="137"/>
        <v>OKE</v>
      </c>
      <c r="R393" s="6"/>
    </row>
    <row r="394" spans="1:18" ht="15" hidden="1" thickBot="1" x14ac:dyDescent="0.25">
      <c r="A394" s="74"/>
      <c r="B394" s="18" t="s">
        <v>24</v>
      </c>
      <c r="C394" s="19" t="s">
        <v>25</v>
      </c>
      <c r="D394" s="20">
        <v>77530000</v>
      </c>
      <c r="E394" s="20"/>
      <c r="F394" s="20"/>
      <c r="G394" s="20">
        <v>37840000</v>
      </c>
      <c r="H394" s="21">
        <v>3330000</v>
      </c>
      <c r="I394" s="20">
        <f>+G394+H394</f>
        <v>41170000</v>
      </c>
      <c r="J394" s="22">
        <f>+I394/D394</f>
        <v>0.53102025022571908</v>
      </c>
      <c r="K394" s="20">
        <v>34735000</v>
      </c>
      <c r="L394" s="20">
        <v>2880000</v>
      </c>
      <c r="M394" s="20">
        <f>+K394+L394</f>
        <v>37615000</v>
      </c>
      <c r="N394" s="22">
        <f>+M394/D394</f>
        <v>0.48516703211660001</v>
      </c>
      <c r="O394" s="20">
        <f>+D394-I394</f>
        <v>36360000</v>
      </c>
      <c r="P394" s="5"/>
      <c r="Q394" s="6" t="str">
        <f t="shared" si="137"/>
        <v>OKE</v>
      </c>
      <c r="R394" s="6"/>
    </row>
    <row r="395" spans="1:18" ht="15" hidden="1" thickBot="1" x14ac:dyDescent="0.25">
      <c r="A395" s="74"/>
      <c r="B395" s="18" t="s">
        <v>24</v>
      </c>
      <c r="C395" s="19" t="s">
        <v>28</v>
      </c>
      <c r="D395" s="20">
        <v>-34450000</v>
      </c>
      <c r="E395" s="20"/>
      <c r="F395" s="20"/>
      <c r="G395" s="20"/>
      <c r="H395" s="21">
        <v>-9800000</v>
      </c>
      <c r="I395" s="20"/>
      <c r="J395" s="22"/>
      <c r="K395" s="20"/>
      <c r="L395" s="20">
        <v>-9800000</v>
      </c>
      <c r="M395" s="20"/>
      <c r="N395" s="22"/>
      <c r="O395" s="20"/>
      <c r="P395" s="5"/>
      <c r="Q395" s="6" t="str">
        <f t="shared" si="137"/>
        <v>OKE</v>
      </c>
      <c r="R395" s="6"/>
    </row>
    <row r="396" spans="1:18" ht="15" hidden="1" thickBot="1" x14ac:dyDescent="0.25">
      <c r="A396" s="74"/>
      <c r="B396" s="74"/>
      <c r="C396" s="76"/>
      <c r="D396" s="15"/>
      <c r="E396" s="15"/>
      <c r="F396" s="15"/>
      <c r="G396" s="80"/>
      <c r="H396" s="79"/>
      <c r="I396" s="15"/>
      <c r="J396" s="16"/>
      <c r="K396" s="80"/>
      <c r="L396" s="76"/>
      <c r="M396" s="80"/>
      <c r="N396" s="16"/>
      <c r="O396" s="80"/>
      <c r="P396" s="5"/>
      <c r="Q396" s="6" t="str">
        <f t="shared" si="137"/>
        <v>OKE</v>
      </c>
      <c r="R396" s="6"/>
    </row>
    <row r="397" spans="1:18" ht="15" hidden="1" thickBot="1" x14ac:dyDescent="0.25">
      <c r="A397" s="74">
        <v>4</v>
      </c>
      <c r="B397" s="75" t="s">
        <v>24</v>
      </c>
      <c r="C397" s="76" t="s">
        <v>25</v>
      </c>
      <c r="D397" s="15">
        <v>43080000</v>
      </c>
      <c r="E397" s="15"/>
      <c r="F397" s="15"/>
      <c r="G397" s="80">
        <v>38030000</v>
      </c>
      <c r="H397" s="79">
        <v>0</v>
      </c>
      <c r="I397" s="15">
        <f>+G397+H397</f>
        <v>38030000</v>
      </c>
      <c r="J397" s="16">
        <f>+I397/D397</f>
        <v>0.88277623026926644</v>
      </c>
      <c r="K397" s="80">
        <v>31370000</v>
      </c>
      <c r="L397" s="80">
        <v>6660000</v>
      </c>
      <c r="M397" s="80">
        <f>+K397+L397</f>
        <v>38030000</v>
      </c>
      <c r="N397" s="16">
        <f>+M397/D397</f>
        <v>0.88277623026926644</v>
      </c>
      <c r="O397" s="80">
        <f>+D397-I397</f>
        <v>5050000</v>
      </c>
      <c r="P397" s="5"/>
      <c r="Q397" s="6" t="str">
        <f t="shared" si="137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80"/>
      <c r="J398" s="80"/>
      <c r="K398" s="80"/>
      <c r="L398" s="76"/>
      <c r="M398" s="76"/>
      <c r="N398" s="76"/>
      <c r="O398" s="76"/>
      <c r="P398" s="5"/>
      <c r="Q398" s="6" t="str">
        <f t="shared" si="137"/>
        <v>OKE</v>
      </c>
      <c r="R398" s="6"/>
    </row>
    <row r="399" spans="1:18" ht="15" hidden="1" thickBot="1" x14ac:dyDescent="0.25">
      <c r="A399" s="74">
        <v>5</v>
      </c>
      <c r="B399" s="75" t="s">
        <v>46</v>
      </c>
      <c r="C399" s="76" t="s">
        <v>47</v>
      </c>
      <c r="D399" s="15">
        <v>30000000</v>
      </c>
      <c r="E399" s="15"/>
      <c r="F399" s="15"/>
      <c r="G399" s="80">
        <v>15789600</v>
      </c>
      <c r="H399" s="79">
        <v>1434200</v>
      </c>
      <c r="I399" s="15">
        <f>+G399+H399</f>
        <v>17223800</v>
      </c>
      <c r="J399" s="16">
        <f>+I399/D399</f>
        <v>0.57412666666666667</v>
      </c>
      <c r="K399" s="80">
        <v>14316300</v>
      </c>
      <c r="L399" s="80">
        <v>2869400</v>
      </c>
      <c r="M399" s="80">
        <f>+K399+L399</f>
        <v>17185700</v>
      </c>
      <c r="N399" s="16">
        <f>+M399/D399</f>
        <v>0.57285666666666668</v>
      </c>
      <c r="O399" s="80">
        <f>+D399-I399</f>
        <v>12776200</v>
      </c>
      <c r="P399" s="5"/>
      <c r="Q399" s="6" t="str">
        <f t="shared" si="137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37"/>
        <v>OKE</v>
      </c>
      <c r="R400" s="6"/>
    </row>
    <row r="401" spans="1:18" ht="15" hidden="1" thickBot="1" x14ac:dyDescent="0.25">
      <c r="A401" s="74">
        <v>6</v>
      </c>
      <c r="B401" s="75" t="s">
        <v>26</v>
      </c>
      <c r="C401" s="76" t="s">
        <v>27</v>
      </c>
      <c r="D401" s="15">
        <v>98400000</v>
      </c>
      <c r="E401" s="15"/>
      <c r="F401" s="15"/>
      <c r="G401" s="80">
        <v>27741800</v>
      </c>
      <c r="H401" s="79">
        <v>1373600</v>
      </c>
      <c r="I401" s="15">
        <f>+G401+H401</f>
        <v>29115400</v>
      </c>
      <c r="J401" s="16">
        <f>+I401/D401</f>
        <v>0.2958882113821138</v>
      </c>
      <c r="K401" s="80">
        <v>26392700</v>
      </c>
      <c r="L401" s="80">
        <v>2722700</v>
      </c>
      <c r="M401" s="80">
        <f>+K401+L401</f>
        <v>29115400</v>
      </c>
      <c r="N401" s="16">
        <f>+M401/D401</f>
        <v>0.2958882113821138</v>
      </c>
      <c r="O401" s="80">
        <f>+D401-I401</f>
        <v>69284600</v>
      </c>
      <c r="P401" s="5"/>
      <c r="Q401" s="6" t="str">
        <f t="shared" si="137"/>
        <v>OKE</v>
      </c>
      <c r="R401" s="6"/>
    </row>
    <row r="402" spans="1:18" ht="15" hidden="1" thickBot="1" x14ac:dyDescent="0.25">
      <c r="A402" s="74"/>
      <c r="B402" s="75"/>
      <c r="C402" s="76"/>
      <c r="D402" s="15"/>
      <c r="E402" s="15"/>
      <c r="F402" s="15"/>
      <c r="G402" s="80"/>
      <c r="H402" s="79"/>
      <c r="I402" s="10"/>
      <c r="J402" s="16"/>
      <c r="K402" s="80"/>
      <c r="L402" s="93"/>
      <c r="M402" s="80"/>
      <c r="N402" s="16"/>
      <c r="O402" s="80"/>
      <c r="P402" s="5"/>
      <c r="Q402" s="6" t="str">
        <f t="shared" si="137"/>
        <v>OKE</v>
      </c>
      <c r="R402" s="6"/>
    </row>
    <row r="403" spans="1:18" ht="15" hidden="1" thickBot="1" x14ac:dyDescent="0.25">
      <c r="A403" s="74">
        <v>7</v>
      </c>
      <c r="B403" s="75" t="s">
        <v>44</v>
      </c>
      <c r="C403" s="76" t="s">
        <v>57</v>
      </c>
      <c r="D403" s="15">
        <v>5000000</v>
      </c>
      <c r="E403" s="15"/>
      <c r="F403" s="15"/>
      <c r="G403" s="80">
        <v>4999000</v>
      </c>
      <c r="H403" s="79">
        <v>0</v>
      </c>
      <c r="I403" s="15">
        <f>+G403+H403</f>
        <v>4999000</v>
      </c>
      <c r="J403" s="16">
        <v>0.999</v>
      </c>
      <c r="K403" s="80">
        <v>3953500</v>
      </c>
      <c r="L403" s="80">
        <v>1045500</v>
      </c>
      <c r="M403" s="80">
        <f>+K403+L403</f>
        <v>4999000</v>
      </c>
      <c r="N403" s="16">
        <f>+M403/D403</f>
        <v>0.99980000000000002</v>
      </c>
      <c r="O403" s="80">
        <f>+D403-I403</f>
        <v>1000</v>
      </c>
      <c r="P403" s="5"/>
      <c r="Q403" s="6" t="str">
        <f t="shared" si="137"/>
        <v>OKE</v>
      </c>
      <c r="R403" s="6"/>
    </row>
    <row r="404" spans="1:18" ht="15" hidden="1" thickBot="1" x14ac:dyDescent="0.25">
      <c r="A404" s="74"/>
      <c r="B404" s="74"/>
      <c r="C404" s="76"/>
      <c r="D404" s="15"/>
      <c r="E404" s="15"/>
      <c r="F404" s="15"/>
      <c r="G404" s="80"/>
      <c r="H404" s="79"/>
      <c r="I404" s="80"/>
      <c r="J404" s="80"/>
      <c r="K404" s="80"/>
      <c r="L404" s="76"/>
      <c r="M404" s="76"/>
      <c r="N404" s="76"/>
      <c r="O404" s="76"/>
      <c r="P404" s="5"/>
      <c r="Q404" s="6" t="str">
        <f t="shared" si="137"/>
        <v>OKE</v>
      </c>
      <c r="R404" s="6"/>
    </row>
    <row r="405" spans="1:18" ht="15" hidden="1" thickBot="1" x14ac:dyDescent="0.25">
      <c r="A405" s="74">
        <v>8</v>
      </c>
      <c r="B405" s="75" t="s">
        <v>29</v>
      </c>
      <c r="C405" s="76" t="s">
        <v>30</v>
      </c>
      <c r="D405" s="15">
        <v>51600000</v>
      </c>
      <c r="E405" s="15"/>
      <c r="F405" s="15"/>
      <c r="G405" s="80">
        <v>13832900</v>
      </c>
      <c r="H405" s="79">
        <v>1723500</v>
      </c>
      <c r="I405" s="15">
        <f>+G405+H405</f>
        <v>15556400</v>
      </c>
      <c r="J405" s="16">
        <f>+I405/D405</f>
        <v>0.30148062015503874</v>
      </c>
      <c r="K405" s="80">
        <v>12211200</v>
      </c>
      <c r="L405" s="80">
        <v>3345200</v>
      </c>
      <c r="M405" s="80">
        <f>+K405+L405</f>
        <v>15556400</v>
      </c>
      <c r="N405" s="16">
        <f>+M405/D405</f>
        <v>0.30148062015503874</v>
      </c>
      <c r="O405" s="80">
        <f>+D405-I405</f>
        <v>36043600</v>
      </c>
      <c r="P405" s="5"/>
      <c r="Q405" s="6" t="str">
        <f t="shared" si="137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37"/>
        <v>OKE</v>
      </c>
      <c r="R406" s="6"/>
    </row>
    <row r="407" spans="1:18" ht="15" hidden="1" thickBot="1" x14ac:dyDescent="0.25">
      <c r="A407" s="74">
        <v>9</v>
      </c>
      <c r="B407" s="75" t="s">
        <v>62</v>
      </c>
      <c r="C407" s="76" t="s">
        <v>68</v>
      </c>
      <c r="D407" s="15">
        <v>20000000</v>
      </c>
      <c r="E407" s="15"/>
      <c r="F407" s="15"/>
      <c r="G407" s="80">
        <v>17000000</v>
      </c>
      <c r="H407" s="79">
        <v>3000000</v>
      </c>
      <c r="I407" s="15">
        <f>+G407+H407</f>
        <v>20000000</v>
      </c>
      <c r="J407" s="16">
        <f>+I407/D407</f>
        <v>1</v>
      </c>
      <c r="K407" s="80">
        <v>13780000</v>
      </c>
      <c r="L407" s="80">
        <v>6220000</v>
      </c>
      <c r="M407" s="80">
        <f>+K407+L407</f>
        <v>20000000</v>
      </c>
      <c r="N407" s="16">
        <f>+M407/D407</f>
        <v>1</v>
      </c>
      <c r="O407" s="80">
        <f>+D407-I407</f>
        <v>0</v>
      </c>
      <c r="P407" s="5"/>
      <c r="Q407" s="6" t="str">
        <f t="shared" si="137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37"/>
        <v>OKE</v>
      </c>
      <c r="R408" s="6"/>
    </row>
    <row r="409" spans="1:18" ht="15" hidden="1" thickBot="1" x14ac:dyDescent="0.25">
      <c r="A409" s="74"/>
      <c r="B409" s="74"/>
      <c r="C409" s="9" t="s">
        <v>48</v>
      </c>
      <c r="D409" s="10">
        <f>+D407+D405+D403+D401+D399+D397+D392+D390</f>
        <v>268080000</v>
      </c>
      <c r="E409" s="10"/>
      <c r="F409" s="10"/>
      <c r="G409" s="10">
        <f>+G407+G405+G403+G401+G399+G397+G392+G390</f>
        <v>133763800</v>
      </c>
      <c r="H409" s="11">
        <f>+H407+H405+H403+H401+H399+H397+H392+H390</f>
        <v>8628300</v>
      </c>
      <c r="I409" s="10">
        <f>+G409+H409</f>
        <v>142392100</v>
      </c>
      <c r="J409" s="12">
        <f>+I409/D409</f>
        <v>0.53115525216353332</v>
      </c>
      <c r="K409" s="10">
        <f>+K407+K405+K403+K401+K399+K397+K392+K390</f>
        <v>114241700</v>
      </c>
      <c r="L409" s="10">
        <f>+L407+L405+L403+L401+L399+L397+L392+L390</f>
        <v>26474800</v>
      </c>
      <c r="M409" s="10">
        <f>+K409+L409</f>
        <v>140716500</v>
      </c>
      <c r="N409" s="12">
        <f>+M409/D409</f>
        <v>0.52490487914055506</v>
      </c>
      <c r="O409" s="10">
        <f>+D409-I409</f>
        <v>125687900</v>
      </c>
      <c r="P409" s="5"/>
      <c r="Q409" s="6" t="str">
        <f t="shared" si="137"/>
        <v>OKE</v>
      </c>
      <c r="R409" s="6"/>
    </row>
    <row r="410" spans="1:18" ht="15" hidden="1" thickBot="1" x14ac:dyDescent="0.25">
      <c r="A410" s="85"/>
      <c r="B410" s="85"/>
      <c r="C410" s="34" t="s">
        <v>31</v>
      </c>
      <c r="D410" s="35"/>
      <c r="E410" s="35"/>
      <c r="F410" s="35"/>
      <c r="G410" s="259"/>
      <c r="H410" s="260"/>
      <c r="I410" s="259"/>
      <c r="J410" s="259"/>
      <c r="K410" s="259"/>
      <c r="L410" s="261"/>
      <c r="M410" s="261"/>
      <c r="N410" s="261"/>
      <c r="O410" s="261"/>
      <c r="P410" s="5"/>
      <c r="Q410" s="6" t="str">
        <f t="shared" si="137"/>
        <v>OKE</v>
      </c>
      <c r="R410" s="6"/>
    </row>
    <row r="411" spans="1:18" ht="15" hidden="1" thickBot="1" x14ac:dyDescent="0.25">
      <c r="A411" s="74"/>
      <c r="B411" s="74"/>
      <c r="C411" s="76"/>
      <c r="D411" s="15"/>
      <c r="E411" s="15"/>
      <c r="F411" s="15"/>
      <c r="G411" s="80"/>
      <c r="H411" s="79"/>
      <c r="I411" s="80"/>
      <c r="J411" s="80"/>
      <c r="K411" s="80"/>
      <c r="L411" s="76"/>
      <c r="M411" s="76"/>
      <c r="N411" s="76"/>
      <c r="O411" s="76"/>
      <c r="P411" s="5"/>
      <c r="Q411" s="6" t="str">
        <f t="shared" si="137"/>
        <v>OKE</v>
      </c>
      <c r="R411" s="6"/>
    </row>
    <row r="412" spans="1:18" ht="15" hidden="1" thickBot="1" x14ac:dyDescent="0.25">
      <c r="A412" s="7" t="s">
        <v>32</v>
      </c>
      <c r="B412" s="7" t="s">
        <v>33</v>
      </c>
      <c r="C412" s="9" t="s">
        <v>64</v>
      </c>
      <c r="D412" s="10">
        <f>+D415</f>
        <v>10000000</v>
      </c>
      <c r="E412" s="10"/>
      <c r="F412" s="10"/>
      <c r="G412" s="10">
        <f>+G415</f>
        <v>8500000</v>
      </c>
      <c r="H412" s="11">
        <f>+H415</f>
        <v>0</v>
      </c>
      <c r="I412" s="10">
        <f>+G412+H412</f>
        <v>8500000</v>
      </c>
      <c r="J412" s="12">
        <f>+I412/D412</f>
        <v>0.85</v>
      </c>
      <c r="K412" s="10">
        <f>+K415</f>
        <v>6435000</v>
      </c>
      <c r="L412" s="10">
        <f>+L415</f>
        <v>2420000</v>
      </c>
      <c r="M412" s="10">
        <f>+K412+L412</f>
        <v>8855000</v>
      </c>
      <c r="N412" s="12">
        <f>+M412/D412</f>
        <v>0.88549999999999995</v>
      </c>
      <c r="O412" s="10">
        <f>+D412-I412</f>
        <v>1500000</v>
      </c>
      <c r="P412" s="5"/>
      <c r="Q412" s="6" t="str">
        <f t="shared" si="137"/>
        <v>Salah</v>
      </c>
      <c r="R412" s="6"/>
    </row>
    <row r="413" spans="1:18" ht="15" hidden="1" thickBot="1" x14ac:dyDescent="0.25">
      <c r="A413" s="74"/>
      <c r="B413" s="74"/>
      <c r="C413" s="9" t="s">
        <v>49</v>
      </c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37"/>
        <v>OKE</v>
      </c>
      <c r="R413" s="6"/>
    </row>
    <row r="414" spans="1:18" ht="15" hidden="1" thickBot="1" x14ac:dyDescent="0.25">
      <c r="A414" s="74"/>
      <c r="B414" s="74"/>
      <c r="C414" s="76"/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si="137"/>
        <v>OKE</v>
      </c>
      <c r="R414" s="6"/>
    </row>
    <row r="415" spans="1:18" ht="15" hidden="1" thickBot="1" x14ac:dyDescent="0.25">
      <c r="A415" s="74">
        <v>10</v>
      </c>
      <c r="B415" s="75" t="s">
        <v>61</v>
      </c>
      <c r="C415" s="8" t="s">
        <v>99</v>
      </c>
      <c r="D415" s="15">
        <v>10000000</v>
      </c>
      <c r="E415" s="15"/>
      <c r="F415" s="15"/>
      <c r="G415" s="80">
        <v>8500000</v>
      </c>
      <c r="H415" s="79">
        <v>0</v>
      </c>
      <c r="I415" s="15">
        <f>+G415+H415</f>
        <v>8500000</v>
      </c>
      <c r="J415" s="16">
        <f>+I415/D415</f>
        <v>0.85</v>
      </c>
      <c r="K415" s="80">
        <v>6435000</v>
      </c>
      <c r="L415" s="80">
        <v>2420000</v>
      </c>
      <c r="M415" s="80">
        <f>+K415+L415</f>
        <v>8855000</v>
      </c>
      <c r="N415" s="16">
        <f>+M415/D415</f>
        <v>0.88549999999999995</v>
      </c>
      <c r="O415" s="80">
        <f>+D415-I415</f>
        <v>1500000</v>
      </c>
      <c r="P415" s="5"/>
      <c r="Q415" s="6" t="str">
        <f t="shared" si="137"/>
        <v>Salah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37"/>
        <v>OKE</v>
      </c>
      <c r="R416" s="6"/>
    </row>
    <row r="417" spans="1:18" ht="15" hidden="1" thickBot="1" x14ac:dyDescent="0.25">
      <c r="A417" s="74"/>
      <c r="B417" s="74"/>
      <c r="C417" s="9" t="s">
        <v>65</v>
      </c>
      <c r="D417" s="10">
        <f>+D415</f>
        <v>10000000</v>
      </c>
      <c r="E417" s="10"/>
      <c r="F417" s="10"/>
      <c r="G417" s="10">
        <f>+G415</f>
        <v>8500000</v>
      </c>
      <c r="H417" s="11">
        <f>+H415</f>
        <v>0</v>
      </c>
      <c r="I417" s="10">
        <f>+G417+H417</f>
        <v>8500000</v>
      </c>
      <c r="J417" s="12">
        <f>+I417/D417</f>
        <v>0.85</v>
      </c>
      <c r="K417" s="10">
        <f>+K415</f>
        <v>6435000</v>
      </c>
      <c r="L417" s="10">
        <f>+L415</f>
        <v>2420000</v>
      </c>
      <c r="M417" s="10">
        <f>+K417+L417</f>
        <v>8855000</v>
      </c>
      <c r="N417" s="12">
        <f>+M417/D417</f>
        <v>0.88549999999999995</v>
      </c>
      <c r="O417" s="10">
        <f>+D417-I417</f>
        <v>1500000</v>
      </c>
      <c r="P417" s="5"/>
      <c r="Q417" s="6" t="str">
        <f t="shared" si="137"/>
        <v>Salah</v>
      </c>
      <c r="R417" s="6"/>
    </row>
    <row r="418" spans="1:18" ht="15" hidden="1" thickBot="1" x14ac:dyDescent="0.25">
      <c r="A418" s="81"/>
      <c r="B418" s="81"/>
      <c r="C418" s="23" t="s">
        <v>66</v>
      </c>
      <c r="D418" s="32"/>
      <c r="E418" s="32"/>
      <c r="F418" s="32"/>
      <c r="G418" s="252"/>
      <c r="H418" s="253"/>
      <c r="I418" s="252"/>
      <c r="J418" s="252"/>
      <c r="K418" s="252"/>
      <c r="L418" s="251"/>
      <c r="M418" s="251"/>
      <c r="N418" s="251"/>
      <c r="O418" s="251"/>
      <c r="P418" s="5"/>
      <c r="Q418" s="6" t="str">
        <f t="shared" si="137"/>
        <v>OKE</v>
      </c>
      <c r="R418" s="6"/>
    </row>
    <row r="419" spans="1:18" ht="15" hidden="1" thickBot="1" x14ac:dyDescent="0.25">
      <c r="B419" s="88"/>
      <c r="C419" s="26"/>
      <c r="D419" s="31"/>
      <c r="E419" s="31"/>
      <c r="F419" s="31"/>
      <c r="G419" s="179"/>
      <c r="H419" s="258"/>
      <c r="I419" s="179"/>
      <c r="J419" s="179"/>
      <c r="K419" s="179"/>
      <c r="L419" s="77"/>
      <c r="M419" s="77"/>
      <c r="N419" s="77"/>
      <c r="O419" s="77"/>
      <c r="P419" s="5"/>
      <c r="Q419" s="6" t="str">
        <f t="shared" si="137"/>
        <v>OKE</v>
      </c>
      <c r="R419" s="6"/>
    </row>
    <row r="420" spans="1:18" ht="15" hidden="1" thickBot="1" x14ac:dyDescent="0.25">
      <c r="B420" s="88"/>
      <c r="C420" s="26"/>
      <c r="D420" s="31"/>
      <c r="E420" s="31"/>
      <c r="F420" s="31"/>
      <c r="G420" s="179"/>
      <c r="H420" s="258"/>
      <c r="I420" s="179"/>
      <c r="J420" s="179"/>
      <c r="K420" s="179"/>
      <c r="L420" s="77"/>
      <c r="M420" s="77"/>
      <c r="N420" s="77"/>
      <c r="O420" s="77"/>
      <c r="P420" s="5"/>
      <c r="Q420" s="6" t="str">
        <f t="shared" si="137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37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37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37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37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37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37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37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37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37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37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37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37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37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37"/>
        <v>OKE</v>
      </c>
      <c r="R434" s="6"/>
    </row>
    <row r="435" spans="1:18" ht="14.1" hidden="1" customHeight="1" x14ac:dyDescent="0.2">
      <c r="A435" s="361" t="s">
        <v>2</v>
      </c>
      <c r="B435" s="361" t="s">
        <v>3</v>
      </c>
      <c r="C435" s="361" t="s">
        <v>4</v>
      </c>
      <c r="D435" s="361" t="s">
        <v>5</v>
      </c>
      <c r="E435" s="197"/>
      <c r="F435" s="197"/>
      <c r="G435" s="358" t="s">
        <v>11</v>
      </c>
      <c r="H435" s="359"/>
      <c r="I435" s="359"/>
      <c r="J435" s="360"/>
      <c r="K435" s="358" t="s">
        <v>9</v>
      </c>
      <c r="L435" s="359"/>
      <c r="M435" s="359"/>
      <c r="N435" s="360"/>
      <c r="O435" s="361" t="s">
        <v>10</v>
      </c>
      <c r="P435" s="5"/>
      <c r="Q435" s="6" t="str">
        <f t="shared" si="137"/>
        <v>OKE</v>
      </c>
      <c r="R435" s="6"/>
    </row>
    <row r="436" spans="1:18" ht="14.1" hidden="1" customHeight="1" x14ac:dyDescent="0.2">
      <c r="A436" s="362"/>
      <c r="B436" s="362"/>
      <c r="C436" s="362"/>
      <c r="D436" s="362"/>
      <c r="E436" s="44"/>
      <c r="F436" s="44"/>
      <c r="G436" s="358" t="s">
        <v>74</v>
      </c>
      <c r="H436" s="359"/>
      <c r="I436" s="359"/>
      <c r="J436" s="360"/>
      <c r="K436" s="358" t="s">
        <v>12</v>
      </c>
      <c r="L436" s="359"/>
      <c r="M436" s="359"/>
      <c r="N436" s="360"/>
      <c r="O436" s="362"/>
      <c r="P436" s="5"/>
      <c r="Q436" s="6" t="str">
        <f t="shared" ref="Q436:Q460" si="138">IF(M436&lt;=I436,"OKE","Salah")</f>
        <v>OKE</v>
      </c>
      <c r="R436" s="6"/>
    </row>
    <row r="437" spans="1:18" ht="14.1" hidden="1" customHeight="1" x14ac:dyDescent="0.2">
      <c r="A437" s="378"/>
      <c r="B437" s="378"/>
      <c r="C437" s="378"/>
      <c r="D437" s="378"/>
      <c r="E437" s="196"/>
      <c r="F437" s="196"/>
      <c r="G437" s="144" t="s">
        <v>13</v>
      </c>
      <c r="H437" s="145" t="s">
        <v>14</v>
      </c>
      <c r="I437" s="144" t="s">
        <v>15</v>
      </c>
      <c r="J437" s="144" t="s">
        <v>16</v>
      </c>
      <c r="K437" s="144" t="s">
        <v>13</v>
      </c>
      <c r="L437" s="144" t="s">
        <v>14</v>
      </c>
      <c r="M437" s="144" t="s">
        <v>15</v>
      </c>
      <c r="N437" s="144" t="s">
        <v>16</v>
      </c>
      <c r="O437" s="378"/>
      <c r="P437" s="5"/>
      <c r="Q437" s="6" t="str">
        <f t="shared" si="138"/>
        <v>OKE</v>
      </c>
      <c r="R437" s="6"/>
    </row>
    <row r="438" spans="1:18" ht="15" hidden="1" thickBot="1" x14ac:dyDescent="0.25">
      <c r="A438" s="2">
        <v>1</v>
      </c>
      <c r="B438" s="2">
        <v>2</v>
      </c>
      <c r="C438" s="2">
        <v>3</v>
      </c>
      <c r="D438" s="2">
        <v>4</v>
      </c>
      <c r="E438" s="2"/>
      <c r="F438" s="2"/>
      <c r="G438" s="2">
        <v>5</v>
      </c>
      <c r="H438" s="145">
        <v>6</v>
      </c>
      <c r="I438" s="45" t="s">
        <v>77</v>
      </c>
      <c r="J438" s="45" t="s">
        <v>78</v>
      </c>
      <c r="K438" s="45">
        <v>9</v>
      </c>
      <c r="L438" s="45">
        <v>10</v>
      </c>
      <c r="M438" s="45" t="s">
        <v>79</v>
      </c>
      <c r="N438" s="45" t="s">
        <v>80</v>
      </c>
      <c r="O438" s="45" t="s">
        <v>81</v>
      </c>
      <c r="P438" s="5"/>
      <c r="Q438" s="6" t="str">
        <f t="shared" si="138"/>
        <v>OKE</v>
      </c>
      <c r="R438" s="6"/>
    </row>
    <row r="439" spans="1:18" ht="15" hidden="1" thickBot="1" x14ac:dyDescent="0.25">
      <c r="A439" s="74"/>
      <c r="B439" s="76"/>
      <c r="C439" s="76"/>
      <c r="D439" s="8"/>
      <c r="E439" s="8"/>
      <c r="F439" s="8"/>
      <c r="G439" s="76"/>
      <c r="H439" s="82"/>
      <c r="I439" s="76"/>
      <c r="J439" s="76"/>
      <c r="K439" s="76"/>
      <c r="L439" s="76"/>
      <c r="M439" s="76"/>
      <c r="N439" s="241"/>
      <c r="O439" s="241"/>
      <c r="P439" s="5"/>
      <c r="Q439" s="6" t="str">
        <f t="shared" si="138"/>
        <v>OKE</v>
      </c>
      <c r="R439" s="6"/>
    </row>
    <row r="440" spans="1:18" ht="15" hidden="1" thickBot="1" x14ac:dyDescent="0.25">
      <c r="A440" s="74"/>
      <c r="B440" s="76"/>
      <c r="C440" s="244" t="s">
        <v>97</v>
      </c>
      <c r="D440" s="8"/>
      <c r="E440" s="8"/>
      <c r="F440" s="8"/>
      <c r="G440" s="76"/>
      <c r="H440" s="82"/>
      <c r="I440" s="76"/>
      <c r="J440" s="76"/>
      <c r="K440" s="76"/>
      <c r="L440" s="76"/>
      <c r="M440" s="76"/>
      <c r="N440" s="76"/>
      <c r="O440" s="76"/>
      <c r="P440" s="5"/>
      <c r="Q440" s="6" t="str">
        <f t="shared" si="138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76"/>
      <c r="O441" s="76"/>
      <c r="P441" s="5"/>
      <c r="Q441" s="6" t="str">
        <f t="shared" si="138"/>
        <v>OKE</v>
      </c>
      <c r="R441" s="6"/>
    </row>
    <row r="442" spans="1:18" ht="15" hidden="1" thickBot="1" x14ac:dyDescent="0.25">
      <c r="A442" s="7" t="s">
        <v>36</v>
      </c>
      <c r="B442" s="7" t="s">
        <v>51</v>
      </c>
      <c r="C442" s="9" t="s">
        <v>100</v>
      </c>
      <c r="D442" s="10">
        <f>+D444+D446</f>
        <v>65000000</v>
      </c>
      <c r="E442" s="10"/>
      <c r="F442" s="10"/>
      <c r="G442" s="10">
        <f>+G444+G446</f>
        <v>63849900</v>
      </c>
      <c r="H442" s="11">
        <f>+H444+H446</f>
        <v>0</v>
      </c>
      <c r="I442" s="10">
        <f>+G442+H442</f>
        <v>63849900</v>
      </c>
      <c r="J442" s="12">
        <f>+I442/D442</f>
        <v>0.98230615384615383</v>
      </c>
      <c r="K442" s="10">
        <f>+K444+K446</f>
        <v>60979900</v>
      </c>
      <c r="L442" s="10">
        <f>+L444+L446</f>
        <v>2675000</v>
      </c>
      <c r="M442" s="10">
        <f>+K442+L442</f>
        <v>63654900</v>
      </c>
      <c r="N442" s="12">
        <f>+M442/D442</f>
        <v>0.97930615384615383</v>
      </c>
      <c r="O442" s="10">
        <f>+D442-I442</f>
        <v>1150100</v>
      </c>
      <c r="P442" s="5"/>
      <c r="Q442" s="6" t="str">
        <f t="shared" si="138"/>
        <v>OKE</v>
      </c>
      <c r="R442" s="6"/>
    </row>
    <row r="443" spans="1:18" ht="15" hidden="1" thickBot="1" x14ac:dyDescent="0.25">
      <c r="A443" s="7"/>
      <c r="B443" s="7"/>
      <c r="C443" s="9"/>
      <c r="D443" s="15"/>
      <c r="E443" s="15"/>
      <c r="F443" s="15"/>
      <c r="G443" s="80"/>
      <c r="H443" s="79"/>
      <c r="I443" s="80"/>
      <c r="J443" s="80"/>
      <c r="K443" s="80"/>
      <c r="L443" s="93"/>
      <c r="M443" s="76"/>
      <c r="N443" s="76"/>
      <c r="O443" s="76"/>
      <c r="P443" s="5"/>
      <c r="Q443" s="6" t="str">
        <f t="shared" si="138"/>
        <v>OKE</v>
      </c>
      <c r="R443" s="6"/>
    </row>
    <row r="444" spans="1:18" ht="15" hidden="1" thickBot="1" x14ac:dyDescent="0.25">
      <c r="A444" s="7"/>
      <c r="B444" s="75" t="s">
        <v>37</v>
      </c>
      <c r="C444" s="8" t="s">
        <v>101</v>
      </c>
      <c r="D444" s="15">
        <v>5000000</v>
      </c>
      <c r="E444" s="15"/>
      <c r="F444" s="15"/>
      <c r="G444" s="80">
        <v>5000000</v>
      </c>
      <c r="H444" s="79">
        <v>0</v>
      </c>
      <c r="I444" s="15">
        <f>+G444+H444</f>
        <v>5000000</v>
      </c>
      <c r="J444" s="16">
        <f>+I444/D444</f>
        <v>1</v>
      </c>
      <c r="K444" s="80">
        <v>2250000</v>
      </c>
      <c r="L444" s="80">
        <v>2675000</v>
      </c>
      <c r="M444" s="80">
        <f>+K444+L444</f>
        <v>4925000</v>
      </c>
      <c r="N444" s="16">
        <f>+M444/D444</f>
        <v>0.98499999999999999</v>
      </c>
      <c r="O444" s="80">
        <f>+D444-I444</f>
        <v>0</v>
      </c>
      <c r="P444" s="5"/>
      <c r="Q444" s="6" t="str">
        <f t="shared" si="138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38"/>
        <v>OKE</v>
      </c>
      <c r="R445" s="6"/>
    </row>
    <row r="446" spans="1:18" ht="15" hidden="1" thickBot="1" x14ac:dyDescent="0.25">
      <c r="A446" s="74">
        <v>11</v>
      </c>
      <c r="B446" s="75" t="s">
        <v>42</v>
      </c>
      <c r="C446" s="76" t="s">
        <v>102</v>
      </c>
      <c r="D446" s="15">
        <v>60000000</v>
      </c>
      <c r="E446" s="15"/>
      <c r="F446" s="15"/>
      <c r="G446" s="80">
        <v>58849900</v>
      </c>
      <c r="H446" s="79">
        <v>0</v>
      </c>
      <c r="I446" s="15">
        <f>+G446+H446</f>
        <v>58849900</v>
      </c>
      <c r="J446" s="16">
        <f>+I446/D446</f>
        <v>0.98083166666666666</v>
      </c>
      <c r="K446" s="80">
        <v>58729900</v>
      </c>
      <c r="L446" s="80">
        <v>0</v>
      </c>
      <c r="M446" s="80">
        <f>+K446+L446</f>
        <v>58729900</v>
      </c>
      <c r="N446" s="16">
        <f>+M446/D446</f>
        <v>0.97883166666666666</v>
      </c>
      <c r="O446" s="80">
        <f>+D446-I446</f>
        <v>1150100</v>
      </c>
      <c r="P446" s="5"/>
      <c r="Q446" s="6" t="str">
        <f t="shared" si="138"/>
        <v>OKE</v>
      </c>
      <c r="R446" s="6"/>
    </row>
    <row r="447" spans="1:18" ht="15" hidden="1" thickBot="1" x14ac:dyDescent="0.25">
      <c r="A447" s="74"/>
      <c r="B447" s="74"/>
      <c r="C447" s="76"/>
      <c r="D447" s="15"/>
      <c r="E447" s="15"/>
      <c r="F447" s="15"/>
      <c r="G447" s="80"/>
      <c r="H447" s="79"/>
      <c r="I447" s="80"/>
      <c r="J447" s="80"/>
      <c r="K447" s="80"/>
      <c r="L447" s="76"/>
      <c r="M447" s="76"/>
      <c r="N447" s="76"/>
      <c r="O447" s="76"/>
      <c r="P447" s="5"/>
      <c r="Q447" s="6" t="str">
        <f t="shared" si="138"/>
        <v>OKE</v>
      </c>
      <c r="R447" s="6"/>
    </row>
    <row r="448" spans="1:18" ht="15" hidden="1" thickBot="1" x14ac:dyDescent="0.25">
      <c r="A448" s="85"/>
      <c r="B448" s="85"/>
      <c r="C448" s="34" t="s">
        <v>103</v>
      </c>
      <c r="D448" s="41">
        <f>+D446+D444</f>
        <v>65000000</v>
      </c>
      <c r="E448" s="41"/>
      <c r="F448" s="41"/>
      <c r="G448" s="41">
        <f>+G446+G444</f>
        <v>63849900</v>
      </c>
      <c r="H448" s="42">
        <f>+H446+H444</f>
        <v>0</v>
      </c>
      <c r="I448" s="41">
        <f>+G448+H448</f>
        <v>63849900</v>
      </c>
      <c r="J448" s="43">
        <f>+I448/D448</f>
        <v>0.98230615384615383</v>
      </c>
      <c r="K448" s="41">
        <f>+K446+K444</f>
        <v>60979900</v>
      </c>
      <c r="L448" s="41">
        <f>+L446+L444</f>
        <v>2675000</v>
      </c>
      <c r="M448" s="259">
        <f>+K448+L448</f>
        <v>63654900</v>
      </c>
      <c r="N448" s="43">
        <f>+M448/D448</f>
        <v>0.97930615384615383</v>
      </c>
      <c r="O448" s="41">
        <f>+D448-I448</f>
        <v>1150100</v>
      </c>
      <c r="P448" s="5"/>
      <c r="Q448" s="6" t="str">
        <f t="shared" si="138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38"/>
        <v>OKE</v>
      </c>
      <c r="R449" s="6"/>
    </row>
    <row r="450" spans="1:40" ht="15" hidden="1" thickBot="1" x14ac:dyDescent="0.25">
      <c r="A450" s="7" t="s">
        <v>38</v>
      </c>
      <c r="B450" s="7" t="s">
        <v>104</v>
      </c>
      <c r="C450" s="9" t="s">
        <v>105</v>
      </c>
      <c r="D450" s="10">
        <f>+D452+D454</f>
        <v>65000000</v>
      </c>
      <c r="E450" s="10"/>
      <c r="F450" s="10"/>
      <c r="G450" s="10">
        <f>+G452+G454</f>
        <v>63625000</v>
      </c>
      <c r="H450" s="11">
        <f>+H452+H454</f>
        <v>0</v>
      </c>
      <c r="I450" s="10">
        <f>+G450+H450</f>
        <v>63625000</v>
      </c>
      <c r="J450" s="12">
        <f>+I450/D450</f>
        <v>0.97884615384615381</v>
      </c>
      <c r="K450" s="10">
        <f>+K452+K454</f>
        <v>58383200</v>
      </c>
      <c r="L450" s="10">
        <f>+L452+L454</f>
        <v>5241800</v>
      </c>
      <c r="M450" s="10">
        <f>+K450+L450</f>
        <v>63625000</v>
      </c>
      <c r="N450" s="12">
        <f>+M450/D450</f>
        <v>0.97884615384615381</v>
      </c>
      <c r="O450" s="10">
        <f>+D450-I450</f>
        <v>1375000</v>
      </c>
      <c r="P450" s="5"/>
      <c r="Q450" s="6" t="str">
        <f t="shared" si="138"/>
        <v>OKE</v>
      </c>
      <c r="R450" s="6"/>
    </row>
    <row r="451" spans="1:40" ht="15" hidden="1" thickBot="1" x14ac:dyDescent="0.25">
      <c r="A451" s="7"/>
      <c r="B451" s="7"/>
      <c r="C451" s="9"/>
      <c r="D451" s="15"/>
      <c r="E451" s="15"/>
      <c r="F451" s="15"/>
      <c r="G451" s="80"/>
      <c r="H451" s="79"/>
      <c r="I451" s="80"/>
      <c r="J451" s="80"/>
      <c r="K451" s="80"/>
      <c r="L451" s="93"/>
      <c r="M451" s="76"/>
      <c r="N451" s="76"/>
      <c r="O451" s="76"/>
      <c r="P451" s="5"/>
      <c r="Q451" s="6" t="str">
        <f t="shared" si="138"/>
        <v>OKE</v>
      </c>
      <c r="R451" s="6"/>
    </row>
    <row r="452" spans="1:40" ht="15" hidden="1" thickBot="1" x14ac:dyDescent="0.25">
      <c r="A452" s="74">
        <v>12</v>
      </c>
      <c r="B452" s="75" t="s">
        <v>71</v>
      </c>
      <c r="C452" s="76" t="s">
        <v>106</v>
      </c>
      <c r="D452" s="15">
        <v>32000000</v>
      </c>
      <c r="E452" s="15"/>
      <c r="F452" s="15"/>
      <c r="G452" s="80">
        <v>32000000</v>
      </c>
      <c r="H452" s="79">
        <v>0</v>
      </c>
      <c r="I452" s="15">
        <f>+G452+H452</f>
        <v>32000000</v>
      </c>
      <c r="J452" s="16">
        <f>+I452/D452</f>
        <v>1</v>
      </c>
      <c r="K452" s="80">
        <v>26758200</v>
      </c>
      <c r="L452" s="80">
        <v>5241800</v>
      </c>
      <c r="M452" s="80">
        <f>+K452+L452</f>
        <v>32000000</v>
      </c>
      <c r="N452" s="16">
        <f>+M452/D452</f>
        <v>1</v>
      </c>
      <c r="O452" s="80">
        <f>+D452-I452</f>
        <v>0</v>
      </c>
      <c r="P452" s="5"/>
      <c r="Q452" s="6" t="str">
        <f t="shared" si="138"/>
        <v>OKE</v>
      </c>
      <c r="R452" s="6"/>
    </row>
    <row r="453" spans="1:40" ht="15" hidden="1" thickBot="1" x14ac:dyDescent="0.25">
      <c r="A453" s="74"/>
      <c r="B453" s="74"/>
      <c r="C453" s="76"/>
      <c r="D453" s="15"/>
      <c r="E453" s="15"/>
      <c r="F453" s="15"/>
      <c r="G453" s="80"/>
      <c r="H453" s="79"/>
      <c r="I453" s="80"/>
      <c r="J453" s="80"/>
      <c r="K453" s="270"/>
      <c r="L453" s="93"/>
      <c r="M453" s="76"/>
      <c r="N453" s="76"/>
      <c r="O453" s="76"/>
      <c r="P453" s="5"/>
      <c r="Q453" s="6" t="str">
        <f t="shared" si="138"/>
        <v>OKE</v>
      </c>
      <c r="R453" s="6"/>
    </row>
    <row r="454" spans="1:40" ht="15" hidden="1" thickBot="1" x14ac:dyDescent="0.25">
      <c r="A454" s="74">
        <v>13</v>
      </c>
      <c r="B454" s="75" t="s">
        <v>107</v>
      </c>
      <c r="C454" s="76" t="s">
        <v>108</v>
      </c>
      <c r="D454" s="15">
        <v>33000000</v>
      </c>
      <c r="E454" s="15"/>
      <c r="F454" s="15"/>
      <c r="G454" s="80">
        <v>31625000</v>
      </c>
      <c r="H454" s="79">
        <v>0</v>
      </c>
      <c r="I454" s="15">
        <f>+G454+H454</f>
        <v>31625000</v>
      </c>
      <c r="J454" s="16">
        <f>+I454/D454</f>
        <v>0.95833333333333337</v>
      </c>
      <c r="K454" s="80">
        <v>31625000</v>
      </c>
      <c r="L454" s="80">
        <v>0</v>
      </c>
      <c r="M454" s="80">
        <f>+K454+L454</f>
        <v>31625000</v>
      </c>
      <c r="N454" s="16">
        <f>+M454/D454</f>
        <v>0.95833333333333337</v>
      </c>
      <c r="O454" s="80">
        <f>+D454-I454</f>
        <v>1375000</v>
      </c>
      <c r="P454" s="5"/>
      <c r="Q454" s="6" t="str">
        <f t="shared" si="138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80"/>
      <c r="L455" s="76"/>
      <c r="M455" s="76"/>
      <c r="N455" s="76"/>
      <c r="O455" s="76"/>
      <c r="P455" s="5"/>
      <c r="Q455" s="6" t="str">
        <f t="shared" si="138"/>
        <v>OKE</v>
      </c>
      <c r="R455" s="6"/>
    </row>
    <row r="456" spans="1:40" ht="15" hidden="1" thickBot="1" x14ac:dyDescent="0.25">
      <c r="A456" s="85"/>
      <c r="B456" s="85"/>
      <c r="C456" s="34" t="s">
        <v>109</v>
      </c>
      <c r="D456" s="41">
        <f>+D454+D452</f>
        <v>65000000</v>
      </c>
      <c r="E456" s="41"/>
      <c r="F456" s="41"/>
      <c r="G456" s="41">
        <f>+G454+G452</f>
        <v>63625000</v>
      </c>
      <c r="H456" s="42">
        <f>+H454+H452</f>
        <v>0</v>
      </c>
      <c r="I456" s="41">
        <f>+G456+H456</f>
        <v>63625000</v>
      </c>
      <c r="J456" s="43">
        <f>+I456/D456</f>
        <v>0.97884615384615381</v>
      </c>
      <c r="K456" s="41">
        <f>+K454+K452</f>
        <v>58383200</v>
      </c>
      <c r="L456" s="41">
        <f>+L454+L452</f>
        <v>5241800</v>
      </c>
      <c r="M456" s="41">
        <f>+K456+L456</f>
        <v>63625000</v>
      </c>
      <c r="N456" s="43">
        <f>+M456/D456</f>
        <v>0.97884615384615381</v>
      </c>
      <c r="O456" s="41">
        <f>+D456-I456</f>
        <v>1375000</v>
      </c>
      <c r="P456" s="5"/>
      <c r="Q456" s="6" t="str">
        <f t="shared" si="138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93"/>
      <c r="M457" s="76"/>
      <c r="N457" s="76"/>
      <c r="O457" s="76"/>
      <c r="P457" s="5"/>
      <c r="Q457" s="6" t="str">
        <f t="shared" si="138"/>
        <v>OKE</v>
      </c>
      <c r="R457" s="6"/>
    </row>
    <row r="458" spans="1:40" ht="15" hidden="1" thickBot="1" x14ac:dyDescent="0.25">
      <c r="A458" s="92"/>
      <c r="B458" s="92"/>
      <c r="C458" s="54"/>
      <c r="D458" s="55"/>
      <c r="E458" s="55"/>
      <c r="F458" s="55"/>
      <c r="G458" s="55"/>
      <c r="H458" s="56"/>
      <c r="I458" s="55"/>
      <c r="J458" s="57"/>
      <c r="K458" s="55"/>
      <c r="L458" s="55"/>
      <c r="M458" s="58"/>
      <c r="N458" s="59"/>
      <c r="O458" s="58"/>
      <c r="P458" s="5"/>
      <c r="Q458" s="6" t="str">
        <f t="shared" si="138"/>
        <v>OKE</v>
      </c>
      <c r="R458" s="6"/>
    </row>
    <row r="459" spans="1:40" s="72" customFormat="1" ht="10.5" customHeight="1" x14ac:dyDescent="0.2">
      <c r="A459" s="435"/>
      <c r="B459" s="436"/>
      <c r="C459" s="439" t="s">
        <v>110</v>
      </c>
      <c r="D459" s="429">
        <f t="shared" ref="D459:I459" si="139">+D30+D47+D62+D77+D98+D113+D126+D161+D179+D253</f>
        <v>70780256093</v>
      </c>
      <c r="E459" s="429">
        <f t="shared" si="139"/>
        <v>-36639150</v>
      </c>
      <c r="F459" s="441">
        <f t="shared" si="139"/>
        <v>70743616943</v>
      </c>
      <c r="G459" s="453">
        <f t="shared" si="139"/>
        <v>42939070432</v>
      </c>
      <c r="H459" s="453">
        <f t="shared" si="139"/>
        <v>5144681464</v>
      </c>
      <c r="I459" s="453">
        <f t="shared" si="139"/>
        <v>48083751896</v>
      </c>
      <c r="J459" s="431">
        <f>+I459/F459</f>
        <v>0.67969032364774828</v>
      </c>
      <c r="K459" s="453">
        <f>+K30+K47+K62+K77+K98+K113+K126+K161+K179+K253</f>
        <v>42883972774</v>
      </c>
      <c r="L459" s="453">
        <f>+L30+L47+L62+L77+L98+L113+L126+L161+L179+L253</f>
        <v>5132881516</v>
      </c>
      <c r="M459" s="453">
        <f>+K459+L459</f>
        <v>48016854290</v>
      </c>
      <c r="N459" s="433">
        <f>+M459/F459</f>
        <v>0.67874468913129571</v>
      </c>
      <c r="O459" s="429">
        <f>+F459-M459</f>
        <v>22726762653</v>
      </c>
      <c r="P459" s="5"/>
      <c r="Q459" s="6" t="str">
        <f t="shared" si="138"/>
        <v>OKE</v>
      </c>
      <c r="R459" s="6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</row>
    <row r="460" spans="1:40" s="73" customFormat="1" ht="18" customHeight="1" thickBot="1" x14ac:dyDescent="0.25">
      <c r="A460" s="437"/>
      <c r="B460" s="438"/>
      <c r="C460" s="430"/>
      <c r="D460" s="440"/>
      <c r="E460" s="440"/>
      <c r="F460" s="442"/>
      <c r="G460" s="454"/>
      <c r="H460" s="454"/>
      <c r="I460" s="462"/>
      <c r="J460" s="432"/>
      <c r="K460" s="454"/>
      <c r="L460" s="454"/>
      <c r="M460" s="462"/>
      <c r="N460" s="434"/>
      <c r="O460" s="430"/>
      <c r="P460" s="77"/>
      <c r="Q460" s="6" t="str">
        <f t="shared" si="138"/>
        <v>OKE</v>
      </c>
      <c r="R460" s="6"/>
      <c r="S460" s="306">
        <f>+S473+juli!S475</f>
        <v>5139044614</v>
      </c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</row>
    <row r="461" spans="1:40" ht="5.25" customHeight="1" x14ac:dyDescent="0.2">
      <c r="A461" s="90"/>
      <c r="B461" s="90"/>
      <c r="C461" s="37"/>
      <c r="D461" s="37"/>
      <c r="E461" s="37"/>
      <c r="F461" s="37"/>
      <c r="G461" s="37"/>
      <c r="H461" s="38"/>
      <c r="I461" s="40"/>
      <c r="J461" s="39"/>
      <c r="K461" s="37"/>
      <c r="L461" s="37"/>
      <c r="M461" s="60"/>
      <c r="N461" s="61"/>
      <c r="O461" s="62"/>
      <c r="P461" s="77"/>
    </row>
    <row r="462" spans="1:40" x14ac:dyDescent="0.2">
      <c r="A462" s="77"/>
      <c r="B462" s="77"/>
      <c r="C462" s="77"/>
      <c r="D462" s="31"/>
      <c r="G462" s="88"/>
      <c r="H462" s="63"/>
      <c r="I462" s="26"/>
      <c r="J462" s="26"/>
      <c r="K462" s="88"/>
      <c r="L462" s="77"/>
      <c r="M462" s="77"/>
      <c r="N462" s="77"/>
      <c r="O462" s="77"/>
      <c r="P462" s="64"/>
      <c r="Q462" s="64"/>
      <c r="R462" s="31" t="s">
        <v>148</v>
      </c>
      <c r="S462" s="189">
        <f>675511485+21862058+20629678</f>
        <v>718003221</v>
      </c>
      <c r="U462" s="309"/>
    </row>
    <row r="463" spans="1:40" hidden="1" x14ac:dyDescent="0.2">
      <c r="A463" s="77"/>
      <c r="B463" s="77"/>
      <c r="C463" s="77"/>
      <c r="G463" s="88"/>
      <c r="H463" s="63"/>
      <c r="I463" s="26"/>
      <c r="J463" s="26"/>
      <c r="K463" s="88"/>
      <c r="L463" s="77"/>
      <c r="M463" s="77"/>
      <c r="N463" s="77"/>
      <c r="O463" s="77"/>
      <c r="P463" s="77"/>
      <c r="Q463" s="77"/>
      <c r="R463" s="77"/>
      <c r="S463" s="189"/>
    </row>
    <row r="464" spans="1:40" hidden="1" x14ac:dyDescent="0.2">
      <c r="A464" s="77"/>
      <c r="B464" s="77"/>
      <c r="C464" s="77"/>
      <c r="G464" s="26"/>
      <c r="H464" s="271"/>
      <c r="I464" s="88"/>
      <c r="J464" s="88"/>
      <c r="K464" s="88"/>
      <c r="L464" s="77"/>
      <c r="M464" s="77"/>
      <c r="N464" s="77"/>
      <c r="O464" s="77"/>
      <c r="P464" s="77"/>
      <c r="Q464" s="77"/>
      <c r="R464" s="77"/>
      <c r="S464" s="189"/>
    </row>
    <row r="465" spans="1:21" x14ac:dyDescent="0.2">
      <c r="A465" s="77"/>
      <c r="B465" s="77"/>
      <c r="C465" s="77"/>
      <c r="D465" s="31"/>
      <c r="G465" s="26"/>
      <c r="H465" s="271"/>
      <c r="I465" s="88"/>
      <c r="J465" s="88"/>
      <c r="K465" s="88"/>
      <c r="L465" s="425" t="s">
        <v>374</v>
      </c>
      <c r="M465" s="426"/>
      <c r="N465" s="426"/>
      <c r="O465" s="426"/>
      <c r="P465" s="77" t="s">
        <v>302</v>
      </c>
      <c r="Q465" s="179">
        <f>56354856+4598328+749681+26400000</f>
        <v>88102865</v>
      </c>
      <c r="R465" s="77" t="s">
        <v>269</v>
      </c>
      <c r="S465" s="189">
        <v>72037500</v>
      </c>
      <c r="U465" s="69"/>
    </row>
    <row r="466" spans="1:21" x14ac:dyDescent="0.2">
      <c r="A466" s="77"/>
      <c r="B466" s="77"/>
      <c r="C466" s="77"/>
      <c r="D466" s="31"/>
      <c r="G466" s="88"/>
      <c r="H466" s="271"/>
      <c r="I466" s="88"/>
      <c r="J466" s="88"/>
      <c r="K466" s="88"/>
      <c r="L466" s="425" t="s">
        <v>340</v>
      </c>
      <c r="M466" s="426"/>
      <c r="N466" s="426"/>
      <c r="O466" s="426"/>
      <c r="P466" s="77" t="s">
        <v>268</v>
      </c>
      <c r="Q466" s="179">
        <f>78710866+2808495+7510900</f>
        <v>89030261</v>
      </c>
      <c r="R466" s="77" t="s">
        <v>149</v>
      </c>
      <c r="S466" s="189">
        <f>915145641+15600000</f>
        <v>930745641</v>
      </c>
    </row>
    <row r="467" spans="1:21" hidden="1" x14ac:dyDescent="0.2">
      <c r="A467" s="77"/>
      <c r="B467" s="77"/>
      <c r="C467" s="77"/>
      <c r="G467" s="88"/>
      <c r="H467" s="271"/>
      <c r="I467" s="88"/>
      <c r="J467" s="88"/>
      <c r="K467" s="88"/>
      <c r="L467" s="26"/>
      <c r="M467" s="88"/>
      <c r="N467" s="88"/>
      <c r="O467" s="77"/>
      <c r="P467" s="77"/>
      <c r="Q467" s="179"/>
      <c r="R467" s="77"/>
      <c r="S467" s="77"/>
    </row>
    <row r="468" spans="1:21" hidden="1" x14ac:dyDescent="0.2">
      <c r="A468" s="77"/>
      <c r="B468" s="77"/>
      <c r="C468" s="77"/>
      <c r="G468" s="88"/>
      <c r="H468" s="271"/>
      <c r="I468" s="88"/>
      <c r="J468" s="88"/>
      <c r="K468" s="88"/>
      <c r="L468" s="88"/>
      <c r="M468" s="88"/>
      <c r="N468" s="88"/>
      <c r="O468" s="77"/>
      <c r="P468" s="77"/>
      <c r="Q468" s="179"/>
      <c r="R468" s="77"/>
      <c r="S468" s="77"/>
    </row>
    <row r="469" spans="1:21" hidden="1" x14ac:dyDescent="0.2">
      <c r="A469" s="77"/>
      <c r="B469" s="77"/>
      <c r="C469" s="77"/>
      <c r="G469" s="88"/>
      <c r="H469" s="271"/>
      <c r="I469" s="88"/>
      <c r="J469" s="88"/>
      <c r="K469" s="88"/>
      <c r="L469" s="88"/>
      <c r="M469" s="88"/>
      <c r="N469" s="88"/>
      <c r="O469" s="77"/>
      <c r="P469" s="77"/>
      <c r="Q469" s="179"/>
      <c r="R469" s="77"/>
      <c r="S469" s="77"/>
    </row>
    <row r="470" spans="1:21" hidden="1" x14ac:dyDescent="0.2">
      <c r="A470" s="77"/>
      <c r="B470" s="77"/>
      <c r="C470" s="77"/>
      <c r="G470" s="88"/>
      <c r="H470" s="65"/>
      <c r="I470" s="200"/>
      <c r="J470" s="200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21" ht="12.75" customHeight="1" x14ac:dyDescent="0.2">
      <c r="A471" s="77"/>
      <c r="B471" s="77"/>
      <c r="C471" s="77"/>
      <c r="D471" s="31"/>
      <c r="G471" s="88"/>
      <c r="H471" s="65"/>
      <c r="I471" s="200"/>
      <c r="J471" s="200"/>
      <c r="K471" s="88"/>
      <c r="L471" s="425" t="s">
        <v>146</v>
      </c>
      <c r="M471" s="426"/>
      <c r="N471" s="426"/>
      <c r="O471" s="426"/>
      <c r="P471" s="77" t="s">
        <v>270</v>
      </c>
      <c r="Q471" s="179">
        <v>0</v>
      </c>
      <c r="R471" s="77" t="s">
        <v>271</v>
      </c>
      <c r="S471" s="179">
        <f>+Q475</f>
        <v>2706782745</v>
      </c>
    </row>
    <row r="472" spans="1:21" ht="12.75" customHeight="1" x14ac:dyDescent="0.2">
      <c r="A472" s="77"/>
      <c r="B472" s="77"/>
      <c r="C472" s="77"/>
      <c r="G472" s="88"/>
      <c r="H472" s="65"/>
      <c r="I472" s="200"/>
      <c r="J472" s="200"/>
      <c r="K472" s="88"/>
      <c r="L472" s="425"/>
      <c r="M472" s="426"/>
      <c r="N472" s="426"/>
      <c r="O472" s="426"/>
      <c r="P472" s="77" t="s">
        <v>147</v>
      </c>
      <c r="Q472" s="179">
        <v>34066130</v>
      </c>
      <c r="R472" s="77"/>
      <c r="S472" s="278"/>
    </row>
    <row r="473" spans="1:21" ht="14.25" customHeight="1" x14ac:dyDescent="0.2">
      <c r="A473" s="77"/>
      <c r="B473" s="77"/>
      <c r="C473" s="77"/>
      <c r="G473" s="88"/>
      <c r="H473" s="65"/>
      <c r="I473" s="200"/>
      <c r="J473" s="200"/>
      <c r="K473" s="88"/>
      <c r="L473" s="88"/>
      <c r="M473" s="88"/>
      <c r="N473" s="88"/>
      <c r="O473" s="77"/>
      <c r="P473" s="77" t="s">
        <v>151</v>
      </c>
      <c r="Q473" s="179">
        <v>47920000</v>
      </c>
      <c r="R473" s="277" t="s">
        <v>152</v>
      </c>
      <c r="S473" s="279">
        <f>SUM(S462:S471)</f>
        <v>4427569107</v>
      </c>
    </row>
    <row r="474" spans="1:21" ht="14.2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88"/>
      <c r="M474" s="88"/>
      <c r="N474" s="88"/>
      <c r="O474" s="77"/>
      <c r="P474" s="77" t="s">
        <v>274</v>
      </c>
      <c r="Q474" s="179">
        <f>35700000+45525000+49625000+2775000+6986000+2241000+24000000+41000000+92652810+50000000+35000000+82000000+40000000+24386300+79858519+3400000+5150000+14300000+8931000+29125000+17440000+93736000+14700000+41202160+970000000+9960000+36000000+159855700+348495000+37520000+15190000+4004000+15905000+11000000</f>
        <v>2447663489</v>
      </c>
      <c r="R474" s="77"/>
      <c r="S474" s="179"/>
    </row>
    <row r="475" spans="1:21" x14ac:dyDescent="0.2">
      <c r="A475" s="77"/>
      <c r="B475" s="77"/>
      <c r="C475" s="77"/>
      <c r="G475" s="66"/>
      <c r="H475" s="65"/>
      <c r="I475" s="200"/>
      <c r="J475" s="200"/>
      <c r="K475" s="88"/>
      <c r="L475" s="427" t="s">
        <v>343</v>
      </c>
      <c r="M475" s="427"/>
      <c r="N475" s="427"/>
      <c r="O475" s="427"/>
      <c r="P475" s="277" t="s">
        <v>273</v>
      </c>
      <c r="Q475" s="280">
        <f>SUM(Q465:Q474)</f>
        <v>2706782745</v>
      </c>
      <c r="R475" s="192" t="s">
        <v>150</v>
      </c>
      <c r="S475" s="191">
        <f>+L459-S473</f>
        <v>705312409</v>
      </c>
    </row>
    <row r="476" spans="1:21" ht="15" customHeight="1" x14ac:dyDescent="0.2">
      <c r="A476" s="77"/>
      <c r="B476" s="77"/>
      <c r="C476" s="77"/>
      <c r="G476" s="67"/>
      <c r="H476" s="271"/>
      <c r="I476" s="88"/>
      <c r="J476" s="88"/>
      <c r="K476" s="88"/>
      <c r="L476" s="428" t="s">
        <v>342</v>
      </c>
      <c r="M476" s="428"/>
      <c r="N476" s="428"/>
      <c r="O476" s="428"/>
      <c r="P476" s="77"/>
      <c r="Q476" s="77"/>
      <c r="R476" s="192" t="s">
        <v>272</v>
      </c>
      <c r="S476" s="191">
        <f>+S473+S475+1343435000</f>
        <v>6476316516</v>
      </c>
    </row>
    <row r="478" spans="1:21" x14ac:dyDescent="0.2">
      <c r="S478" s="69">
        <v>0</v>
      </c>
    </row>
    <row r="479" spans="1:21" x14ac:dyDescent="0.2">
      <c r="S479" s="319"/>
    </row>
    <row r="480" spans="1:21" x14ac:dyDescent="0.2">
      <c r="S480" s="309">
        <f>705312409-S475</f>
        <v>0</v>
      </c>
    </row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</sheetData>
  <mergeCells count="245"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  <mergeCell ref="L30:L31"/>
    <mergeCell ref="G62:G63"/>
    <mergeCell ref="H62:H63"/>
    <mergeCell ref="L47:L48"/>
    <mergeCell ref="M30:M31"/>
    <mergeCell ref="N30:N31"/>
    <mergeCell ref="O30:O31"/>
    <mergeCell ref="I30:I31"/>
    <mergeCell ref="J30:J31"/>
    <mergeCell ref="K30:K31"/>
    <mergeCell ref="M47:M48"/>
    <mergeCell ref="N47:N48"/>
    <mergeCell ref="O47:O48"/>
    <mergeCell ref="I47:I48"/>
    <mergeCell ref="J47:J48"/>
    <mergeCell ref="K47:K48"/>
    <mergeCell ref="M62:M63"/>
    <mergeCell ref="N62:N63"/>
    <mergeCell ref="O62:O63"/>
    <mergeCell ref="I62:I63"/>
    <mergeCell ref="J62:J63"/>
    <mergeCell ref="K62:K63"/>
    <mergeCell ref="L62:L63"/>
    <mergeCell ref="C43:C44"/>
    <mergeCell ref="A47:A48"/>
    <mergeCell ref="B47:B48"/>
    <mergeCell ref="C47:C48"/>
    <mergeCell ref="D47:D48"/>
    <mergeCell ref="E47:E48"/>
    <mergeCell ref="F30:F31"/>
    <mergeCell ref="G30:G31"/>
    <mergeCell ref="H30:H31"/>
    <mergeCell ref="A30:A31"/>
    <mergeCell ref="B30:B31"/>
    <mergeCell ref="C30:C31"/>
    <mergeCell ref="D30:D31"/>
    <mergeCell ref="E30:E31"/>
    <mergeCell ref="A62:A63"/>
    <mergeCell ref="B62:B63"/>
    <mergeCell ref="C62:C63"/>
    <mergeCell ref="D62:D63"/>
    <mergeCell ref="E62:E63"/>
    <mergeCell ref="F62:F63"/>
    <mergeCell ref="F47:F48"/>
    <mergeCell ref="G47:G48"/>
    <mergeCell ref="H47:H48"/>
    <mergeCell ref="N77:N78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H77:H78"/>
    <mergeCell ref="I77:I78"/>
    <mergeCell ref="J77:J78"/>
    <mergeCell ref="K77:K78"/>
    <mergeCell ref="L77:L78"/>
    <mergeCell ref="M77:M78"/>
    <mergeCell ref="A77:A78"/>
    <mergeCell ref="B77:B78"/>
    <mergeCell ref="C77:C78"/>
    <mergeCell ref="D77:D78"/>
    <mergeCell ref="E77:E78"/>
    <mergeCell ref="F77:F78"/>
    <mergeCell ref="G77:G78"/>
    <mergeCell ref="J113:J114"/>
    <mergeCell ref="K113:K114"/>
    <mergeCell ref="L113:L114"/>
    <mergeCell ref="M113:M114"/>
    <mergeCell ref="N113:N114"/>
    <mergeCell ref="O113:O114"/>
    <mergeCell ref="O98:O99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I98:I99"/>
    <mergeCell ref="J98:J99"/>
    <mergeCell ref="K98:K99"/>
    <mergeCell ref="L98:L99"/>
    <mergeCell ref="M98:M99"/>
    <mergeCell ref="N98:N99"/>
    <mergeCell ref="M126:M127"/>
    <mergeCell ref="N126:N127"/>
    <mergeCell ref="O126:O127"/>
    <mergeCell ref="C149:C150"/>
    <mergeCell ref="A161:A162"/>
    <mergeCell ref="B161:B162"/>
    <mergeCell ref="C161:C162"/>
    <mergeCell ref="D161:D162"/>
    <mergeCell ref="E161:E162"/>
    <mergeCell ref="F161:F162"/>
    <mergeCell ref="G126:G127"/>
    <mergeCell ref="H126:H127"/>
    <mergeCell ref="I126:I127"/>
    <mergeCell ref="J126:J127"/>
    <mergeCell ref="K126:K127"/>
    <mergeCell ref="L126:L127"/>
    <mergeCell ref="A126:A127"/>
    <mergeCell ref="B126:B127"/>
    <mergeCell ref="C126:C127"/>
    <mergeCell ref="D126:D127"/>
    <mergeCell ref="E126:E127"/>
    <mergeCell ref="F126:F127"/>
    <mergeCell ref="M161:M162"/>
    <mergeCell ref="N161:N162"/>
    <mergeCell ref="O161:O162"/>
    <mergeCell ref="A179:A180"/>
    <mergeCell ref="B179:B180"/>
    <mergeCell ref="C179:C180"/>
    <mergeCell ref="D179:D180"/>
    <mergeCell ref="E179:E180"/>
    <mergeCell ref="F179:F180"/>
    <mergeCell ref="G179:G180"/>
    <mergeCell ref="G161:G162"/>
    <mergeCell ref="H161:H162"/>
    <mergeCell ref="I161:I162"/>
    <mergeCell ref="J161:J162"/>
    <mergeCell ref="K161:K162"/>
    <mergeCell ref="L161:L162"/>
    <mergeCell ref="N179:N180"/>
    <mergeCell ref="O179:O180"/>
    <mergeCell ref="I179:I180"/>
    <mergeCell ref="J179:J180"/>
    <mergeCell ref="K179:K180"/>
    <mergeCell ref="L179:L180"/>
    <mergeCell ref="M179:M180"/>
    <mergeCell ref="C216:C217"/>
    <mergeCell ref="C246:C247"/>
    <mergeCell ref="A253:A254"/>
    <mergeCell ref="B253:B254"/>
    <mergeCell ref="C253:C254"/>
    <mergeCell ref="D253:D254"/>
    <mergeCell ref="E253:E254"/>
    <mergeCell ref="F253:F254"/>
    <mergeCell ref="H179:H180"/>
    <mergeCell ref="M253:M254"/>
    <mergeCell ref="N253:N254"/>
    <mergeCell ref="O253:O254"/>
    <mergeCell ref="A267:O267"/>
    <mergeCell ref="A268:O268"/>
    <mergeCell ref="A269:O269"/>
    <mergeCell ref="G253:G254"/>
    <mergeCell ref="H253:H254"/>
    <mergeCell ref="I253:I254"/>
    <mergeCell ref="J253:J254"/>
    <mergeCell ref="K253:K254"/>
    <mergeCell ref="L253:L254"/>
    <mergeCell ref="A354:A355"/>
    <mergeCell ref="B354:B355"/>
    <mergeCell ref="C354:C355"/>
    <mergeCell ref="D354:D355"/>
    <mergeCell ref="G354:G355"/>
    <mergeCell ref="H354:H355"/>
    <mergeCell ref="I354:I355"/>
    <mergeCell ref="O270:O272"/>
    <mergeCell ref="G271:J271"/>
    <mergeCell ref="K271:N271"/>
    <mergeCell ref="A323:O323"/>
    <mergeCell ref="A324:A326"/>
    <mergeCell ref="B324:B326"/>
    <mergeCell ref="C324:C326"/>
    <mergeCell ref="D324:D326"/>
    <mergeCell ref="G324:J324"/>
    <mergeCell ref="K324:N324"/>
    <mergeCell ref="A270:A272"/>
    <mergeCell ref="B270:B272"/>
    <mergeCell ref="C270:C272"/>
    <mergeCell ref="D270:D272"/>
    <mergeCell ref="G270:J270"/>
    <mergeCell ref="K270:N270"/>
    <mergeCell ref="J354:J355"/>
    <mergeCell ref="K354:K355"/>
    <mergeCell ref="L354:L355"/>
    <mergeCell ref="M354:M355"/>
    <mergeCell ref="N354:N355"/>
    <mergeCell ref="O354:O355"/>
    <mergeCell ref="O324:O326"/>
    <mergeCell ref="G325:J325"/>
    <mergeCell ref="K325:N325"/>
    <mergeCell ref="G382:J382"/>
    <mergeCell ref="K382:N382"/>
    <mergeCell ref="A435:A437"/>
    <mergeCell ref="B435:B437"/>
    <mergeCell ref="C435:C437"/>
    <mergeCell ref="D435:D437"/>
    <mergeCell ref="G435:J435"/>
    <mergeCell ref="K435:N435"/>
    <mergeCell ref="A378:O378"/>
    <mergeCell ref="A379:O379"/>
    <mergeCell ref="A380:O380"/>
    <mergeCell ref="A381:A383"/>
    <mergeCell ref="B381:B383"/>
    <mergeCell ref="C381:C383"/>
    <mergeCell ref="D381:D383"/>
    <mergeCell ref="G381:J381"/>
    <mergeCell ref="K381:N381"/>
    <mergeCell ref="O381:O383"/>
    <mergeCell ref="O435:O437"/>
    <mergeCell ref="G436:J436"/>
    <mergeCell ref="K436:N436"/>
    <mergeCell ref="A459:B460"/>
    <mergeCell ref="C459:C460"/>
    <mergeCell ref="D459:D460"/>
    <mergeCell ref="E459:E460"/>
    <mergeCell ref="F459:F460"/>
    <mergeCell ref="G459:G460"/>
    <mergeCell ref="H459:H460"/>
    <mergeCell ref="L476:O476"/>
    <mergeCell ref="O459:O460"/>
    <mergeCell ref="L465:O465"/>
    <mergeCell ref="L466:O466"/>
    <mergeCell ref="L471:O471"/>
    <mergeCell ref="L472:O472"/>
    <mergeCell ref="L475:O475"/>
    <mergeCell ref="I459:I460"/>
    <mergeCell ref="J459:J460"/>
    <mergeCell ref="K459:K460"/>
    <mergeCell ref="L459:L460"/>
    <mergeCell ref="M459:M460"/>
    <mergeCell ref="N459:N460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1"/>
  <sheetViews>
    <sheetView topLeftCell="A7" workbookViewId="0">
      <selection activeCell="B18" sqref="B18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375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16796034840</v>
      </c>
      <c r="G8" s="107">
        <f>F8/E8</f>
        <v>0.85031817532952325</v>
      </c>
      <c r="H8" s="105">
        <f>SUM(H9:H11)</f>
        <v>16777866040</v>
      </c>
      <c r="I8" s="108">
        <f>H8/E8</f>
        <v>0.84939835937229902</v>
      </c>
      <c r="J8" s="109">
        <f>C8-H8</f>
        <v>2974781060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+agt!I30</f>
        <v>752633590</v>
      </c>
      <c r="G9" s="115">
        <f>F9/E9</f>
        <v>0.67115395607802841</v>
      </c>
      <c r="H9" s="113">
        <f>+agt!M30</f>
        <v>736628590</v>
      </c>
      <c r="I9" s="115">
        <f>H9/E9</f>
        <v>0.65688164720190068</v>
      </c>
      <c r="J9" s="116">
        <f>E9-H9</f>
        <v>384773710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+agt!I62</f>
        <v>15870465750</v>
      </c>
      <c r="G10" s="115">
        <f t="shared" ref="G10:G20" si="0">F10/E10</f>
        <v>0.88305417195296609</v>
      </c>
      <c r="H10" s="113">
        <f>+agt!M62</f>
        <v>15868972950</v>
      </c>
      <c r="I10" s="115">
        <f t="shared" ref="I10:I20" si="1">H10/E10</f>
        <v>0.88297111054262956</v>
      </c>
      <c r="J10" s="116">
        <f t="shared" ref="J10:J20" si="2">E10-H10</f>
        <v>2103271850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+agt!I47</f>
        <v>172935500</v>
      </c>
      <c r="G11" s="131">
        <f t="shared" si="0"/>
        <v>0.26242109256449164</v>
      </c>
      <c r="H11" s="153">
        <f>+agt!M47</f>
        <v>172264500</v>
      </c>
      <c r="I11" s="131">
        <f t="shared" si="1"/>
        <v>0.26140288315629739</v>
      </c>
      <c r="J11" s="154">
        <f t="shared" si="2"/>
        <v>486735500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5852770245</v>
      </c>
      <c r="G12" s="129">
        <f>F12/E12</f>
        <v>0.54869904775321776</v>
      </c>
      <c r="H12" s="157">
        <f>SUM(H13:H15)</f>
        <v>5819944570</v>
      </c>
      <c r="I12" s="129">
        <f>H12/E12</f>
        <v>0.54562163041742806</v>
      </c>
      <c r="J12" s="159">
        <f t="shared" ref="J12:J16" si="4">C12-H12</f>
        <v>4846686380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+agt!I98</f>
        <v>1550950500</v>
      </c>
      <c r="G13" s="115">
        <f t="shared" si="0"/>
        <v>0.70236417848290966</v>
      </c>
      <c r="H13" s="113">
        <f>+agt!M98</f>
        <v>1548934349</v>
      </c>
      <c r="I13" s="115">
        <f t="shared" si="1"/>
        <v>0.70145114338552106</v>
      </c>
      <c r="J13" s="116">
        <f t="shared" si="2"/>
        <v>659251301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+agt!I77</f>
        <v>3941878750</v>
      </c>
      <c r="G14" s="115">
        <f t="shared" si="0"/>
        <v>0.65306845583989892</v>
      </c>
      <c r="H14" s="113">
        <f>+agt!M77</f>
        <v>3932817906</v>
      </c>
      <c r="I14" s="115">
        <f t="shared" si="1"/>
        <v>0.65156730581094724</v>
      </c>
      <c r="J14" s="116">
        <f t="shared" si="2"/>
        <v>2103117094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+agt!I113</f>
        <v>359940995</v>
      </c>
      <c r="G15" s="121">
        <f t="shared" si="0"/>
        <v>0.14858182233528583</v>
      </c>
      <c r="H15" s="119">
        <f>+agt!M113</f>
        <v>338192315</v>
      </c>
      <c r="I15" s="131">
        <f t="shared" si="1"/>
        <v>0.13960407722518248</v>
      </c>
      <c r="J15" s="122">
        <f t="shared" si="2"/>
        <v>2084317985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40324338893</v>
      </c>
      <c r="D16" s="125">
        <f>SUM(D17:D20)</f>
        <v>0</v>
      </c>
      <c r="E16" s="126">
        <f t="shared" si="3"/>
        <v>40324338893</v>
      </c>
      <c r="F16" s="127">
        <f>SUM(F17:F20)</f>
        <v>25434946811</v>
      </c>
      <c r="G16" s="128">
        <f>F16/E16</f>
        <v>0.63075917694500172</v>
      </c>
      <c r="H16" s="125">
        <f>SUM(H17:H20)</f>
        <v>25419043680</v>
      </c>
      <c r="I16" s="129">
        <f>H16/E16</f>
        <v>0.63036479649298238</v>
      </c>
      <c r="J16" s="130">
        <f t="shared" si="4"/>
        <v>14905295213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+agt!I126</f>
        <v>609710300</v>
      </c>
      <c r="G17" s="115">
        <f t="shared" si="0"/>
        <v>0.54556646819191845</v>
      </c>
      <c r="H17" s="133">
        <f>+agt!M126</f>
        <v>609416800</v>
      </c>
      <c r="I17" s="115">
        <f t="shared" si="1"/>
        <v>0.545303845503054</v>
      </c>
      <c r="J17" s="116">
        <f t="shared" si="2"/>
        <v>508156100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+agt!I179</f>
        <v>666849220</v>
      </c>
      <c r="G18" s="115">
        <f>F18/E18</f>
        <v>0.5607971983065646</v>
      </c>
      <c r="H18" s="133">
        <f>+agt!M179</f>
        <v>666839170</v>
      </c>
      <c r="I18" s="115">
        <f t="shared" si="1"/>
        <v>0.56078874660313005</v>
      </c>
      <c r="J18" s="116">
        <f t="shared" si="2"/>
        <v>522270230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+'Rekap juli'!C19</f>
        <v>12324425000</v>
      </c>
      <c r="D19" s="133"/>
      <c r="E19" s="114">
        <f t="shared" si="5"/>
        <v>12324425000</v>
      </c>
      <c r="F19" s="133">
        <f>+agt!I253</f>
        <v>8343368830</v>
      </c>
      <c r="G19" s="115">
        <f t="shared" ref="G19" si="6">F19/E19</f>
        <v>0.67697834422295566</v>
      </c>
      <c r="H19" s="133">
        <f>+agt!M253</f>
        <v>8327852049</v>
      </c>
      <c r="I19" s="115">
        <f t="shared" si="1"/>
        <v>0.675719317452944</v>
      </c>
      <c r="J19" s="116">
        <f t="shared" si="2"/>
        <v>3996572951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+'Rekap juli'!C20</f>
        <v>25693231593</v>
      </c>
      <c r="D20" s="133"/>
      <c r="E20" s="114">
        <f t="shared" si="3"/>
        <v>25693231593</v>
      </c>
      <c r="F20" s="133">
        <f>+agt!I161</f>
        <v>15815018461</v>
      </c>
      <c r="G20" s="115">
        <f t="shared" si="0"/>
        <v>0.61553247608248418</v>
      </c>
      <c r="H20" s="133">
        <f>+agt!M161</f>
        <v>15814935661</v>
      </c>
      <c r="I20" s="115">
        <f t="shared" si="1"/>
        <v>0.61552925344387999</v>
      </c>
      <c r="J20" s="116">
        <f t="shared" si="2"/>
        <v>9878295932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70743616943</v>
      </c>
      <c r="D21" s="163">
        <f>D16+D12+D8</f>
        <v>0</v>
      </c>
      <c r="E21" s="164">
        <f>D21+C21</f>
        <v>70743616943</v>
      </c>
      <c r="F21" s="164">
        <f>F16+F12+F8</f>
        <v>48083751896</v>
      </c>
      <c r="G21" s="165">
        <f>F21/E21</f>
        <v>0.67969032364774828</v>
      </c>
      <c r="H21" s="166">
        <f>H16+H12+H8</f>
        <v>48016854290</v>
      </c>
      <c r="I21" s="165">
        <f>H21/E21</f>
        <v>0.67874468913129571</v>
      </c>
      <c r="J21" s="167">
        <f>E21-H21</f>
        <v>22726762653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F24" s="195"/>
      <c r="H24" s="443" t="s">
        <v>376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66" t="s">
        <v>343</v>
      </c>
      <c r="I30" s="466"/>
      <c r="J30" s="466"/>
      <c r="K30" s="66"/>
    </row>
    <row r="31" spans="1:11" x14ac:dyDescent="0.25">
      <c r="H31" s="465" t="s">
        <v>342</v>
      </c>
      <c r="I31" s="465"/>
      <c r="J31" s="465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E14"/>
  <sheetViews>
    <sheetView topLeftCell="A13" zoomScale="84" zoomScaleNormal="84" workbookViewId="0">
      <selection activeCell="B18" sqref="B18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agt'!F9</f>
        <v>752633590</v>
      </c>
      <c r="E4" s="195">
        <f>+'Rekap agt'!H9</f>
        <v>736628590</v>
      </c>
    </row>
    <row r="5" spans="2:5" x14ac:dyDescent="0.25">
      <c r="B5" t="s">
        <v>287</v>
      </c>
      <c r="C5" s="195">
        <f>+'Rekap jan'!C10</f>
        <v>17972244800</v>
      </c>
      <c r="D5" s="195">
        <f>+'Rekap agt'!F10</f>
        <v>15870465750</v>
      </c>
      <c r="E5" s="195">
        <f>+'Rekap agt'!H10</f>
        <v>15868972950</v>
      </c>
    </row>
    <row r="6" spans="2:5" x14ac:dyDescent="0.25">
      <c r="B6" t="s">
        <v>288</v>
      </c>
      <c r="C6" s="195">
        <f>+'Rekap jan'!C11</f>
        <v>659000000</v>
      </c>
      <c r="D6" s="195">
        <f>+'Rekap agt'!F11</f>
        <v>172935500</v>
      </c>
      <c r="E6" s="195">
        <f>+'Rekap agt'!H11</f>
        <v>172264500</v>
      </c>
    </row>
    <row r="7" spans="2:5" x14ac:dyDescent="0.25">
      <c r="B7" s="349" t="s">
        <v>360</v>
      </c>
      <c r="C7" s="195">
        <f>+'Rekap peb'!C13</f>
        <v>2208185650</v>
      </c>
      <c r="D7" s="195">
        <f>+'Rekap agt'!F13</f>
        <v>1550950500</v>
      </c>
      <c r="E7" s="195">
        <f>+'Rekap agt'!H13</f>
        <v>1548934349</v>
      </c>
    </row>
    <row r="8" spans="2:5" x14ac:dyDescent="0.25">
      <c r="B8" t="s">
        <v>284</v>
      </c>
      <c r="C8" s="195">
        <f>+'Rekap jan'!C14</f>
        <v>6035935000</v>
      </c>
      <c r="D8" s="195">
        <f>+'Rekap agt'!F14</f>
        <v>3941878750</v>
      </c>
      <c r="E8" s="195">
        <f>+'Rekap agt'!H14</f>
        <v>3932817906</v>
      </c>
    </row>
    <row r="9" spans="2:5" x14ac:dyDescent="0.25">
      <c r="B9" t="s">
        <v>290</v>
      </c>
      <c r="C9" s="195">
        <f>+'Rekap jan'!C15</f>
        <v>2422510300</v>
      </c>
      <c r="D9" s="195">
        <f>+'Rekap agt'!F15</f>
        <v>359940995</v>
      </c>
      <c r="E9" s="195">
        <f>+'Rekap agt'!H15</f>
        <v>338192315</v>
      </c>
    </row>
    <row r="10" spans="2:5" x14ac:dyDescent="0.25">
      <c r="B10" t="s">
        <v>361</v>
      </c>
      <c r="C10" s="195">
        <f>+'Rekap jan'!C17</f>
        <v>1117572900</v>
      </c>
      <c r="D10" s="195">
        <f>+'Rekap agt'!F17</f>
        <v>609710300</v>
      </c>
      <c r="E10" s="195">
        <f>+'Rekap agt'!H15</f>
        <v>338192315</v>
      </c>
    </row>
    <row r="11" spans="2:5" x14ac:dyDescent="0.25">
      <c r="B11" t="s">
        <v>291</v>
      </c>
      <c r="C11" s="195">
        <f>+'Rekap jan'!C18</f>
        <v>1189109400</v>
      </c>
      <c r="D11" s="195">
        <f>+'Rekap agt'!F18</f>
        <v>666849220</v>
      </c>
      <c r="E11" s="195">
        <f>+'Rekap agt'!H18</f>
        <v>666839170</v>
      </c>
    </row>
    <row r="12" spans="2:5" x14ac:dyDescent="0.25">
      <c r="B12" t="s">
        <v>292</v>
      </c>
      <c r="C12" s="195">
        <f>+'Rekap juli'!C19</f>
        <v>12324425000</v>
      </c>
      <c r="D12" s="195">
        <f>+'Rekap agt'!F19</f>
        <v>8343368830</v>
      </c>
      <c r="E12" s="195">
        <f>+'Rekap agt'!H19</f>
        <v>8327852049</v>
      </c>
    </row>
    <row r="13" spans="2:5" x14ac:dyDescent="0.25">
      <c r="B13" t="s">
        <v>293</v>
      </c>
      <c r="C13" s="195">
        <f>+'Rekap juli'!C20</f>
        <v>25693231593</v>
      </c>
      <c r="D13" s="195">
        <f>+'Rekap agt'!F20</f>
        <v>15815018461</v>
      </c>
      <c r="E13" s="195">
        <f>+'Rekap agt'!H20</f>
        <v>15814935661</v>
      </c>
    </row>
    <row r="14" spans="2:5" x14ac:dyDescent="0.25">
      <c r="C14" s="308">
        <f>SUM(C4:C13)</f>
        <v>70743616943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N588"/>
  <sheetViews>
    <sheetView view="pageBreakPreview" topLeftCell="F65" zoomScale="110" zoomScaleSheetLayoutView="110" workbookViewId="0">
      <selection activeCell="L76" sqref="L76"/>
    </sheetView>
  </sheetViews>
  <sheetFormatPr defaultRowHeight="14.25" x14ac:dyDescent="0.2"/>
  <cols>
    <col min="1" max="1" width="5" style="88" customWidth="1"/>
    <col min="2" max="2" width="14.7109375" style="68" customWidth="1"/>
    <col min="3" max="3" width="44" style="68" customWidth="1"/>
    <col min="4" max="4" width="15.85546875" style="5" hidden="1" customWidth="1"/>
    <col min="5" max="5" width="14.5703125" style="5" hidden="1" customWidth="1"/>
    <col min="6" max="6" width="16.7109375" style="5" customWidth="1"/>
    <col min="7" max="7" width="13.28515625" style="68" customWidth="1"/>
    <col min="8" max="8" width="14" style="71" customWidth="1"/>
    <col min="9" max="9" width="14" style="68" customWidth="1"/>
    <col min="10" max="10" width="7.140625" style="68" customWidth="1"/>
    <col min="11" max="11" width="13.42578125" style="68" customWidth="1"/>
    <col min="12" max="13" width="13.85546875" style="68" customWidth="1"/>
    <col min="14" max="14" width="7" style="68" customWidth="1"/>
    <col min="15" max="15" width="15.7109375" style="68" customWidth="1"/>
    <col min="16" max="16" width="16.85546875" style="68" customWidth="1"/>
    <col min="17" max="17" width="16" style="1" customWidth="1"/>
    <col min="18" max="18" width="13.85546875" style="1" customWidth="1"/>
    <col min="19" max="19" width="19.140625" style="68" customWidth="1"/>
    <col min="20" max="20" width="9.140625" style="68"/>
    <col min="21" max="21" width="18.85546875" style="68" bestFit="1" customWidth="1"/>
    <col min="22" max="16384" width="9.140625" style="68"/>
  </cols>
  <sheetData>
    <row r="1" spans="1:19" ht="15" x14ac:dyDescent="0.2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  <c r="O1" s="371"/>
    </row>
    <row r="2" spans="1:19" ht="15" x14ac:dyDescent="0.2">
      <c r="A2" s="370" t="s">
        <v>323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71"/>
    </row>
    <row r="3" spans="1:19" ht="15" x14ac:dyDescent="0.2">
      <c r="A3" s="370" t="s">
        <v>379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371"/>
    </row>
    <row r="4" spans="1:19" ht="11.25" customHeight="1" x14ac:dyDescent="0.2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373"/>
    </row>
    <row r="5" spans="1:19" x14ac:dyDescent="0.2">
      <c r="A5" s="361" t="s">
        <v>2</v>
      </c>
      <c r="B5" s="361" t="s">
        <v>3</v>
      </c>
      <c r="C5" s="361" t="s">
        <v>4</v>
      </c>
      <c r="D5" s="361" t="s">
        <v>5</v>
      </c>
      <c r="E5" s="361" t="s">
        <v>6</v>
      </c>
      <c r="F5" s="361" t="s">
        <v>7</v>
      </c>
      <c r="G5" s="358" t="s">
        <v>8</v>
      </c>
      <c r="H5" s="359"/>
      <c r="I5" s="359"/>
      <c r="J5" s="379"/>
      <c r="K5" s="380" t="s">
        <v>9</v>
      </c>
      <c r="L5" s="381"/>
      <c r="M5" s="381"/>
      <c r="N5" s="382"/>
      <c r="O5" s="361" t="s">
        <v>10</v>
      </c>
    </row>
    <row r="6" spans="1:19" ht="15.75" customHeight="1" x14ac:dyDescent="0.2">
      <c r="A6" s="362"/>
      <c r="B6" s="375"/>
      <c r="C6" s="362"/>
      <c r="D6" s="362"/>
      <c r="E6" s="362"/>
      <c r="F6" s="362"/>
      <c r="G6" s="358" t="s">
        <v>11</v>
      </c>
      <c r="H6" s="383"/>
      <c r="I6" s="383"/>
      <c r="J6" s="379"/>
      <c r="K6" s="380" t="s">
        <v>12</v>
      </c>
      <c r="L6" s="381"/>
      <c r="M6" s="381"/>
      <c r="N6" s="382"/>
      <c r="O6" s="362"/>
    </row>
    <row r="7" spans="1:19" ht="18" customHeight="1" x14ac:dyDescent="0.2">
      <c r="A7" s="374"/>
      <c r="B7" s="376"/>
      <c r="C7" s="376"/>
      <c r="D7" s="377"/>
      <c r="E7" s="378"/>
      <c r="F7" s="378"/>
      <c r="G7" s="310" t="s">
        <v>13</v>
      </c>
      <c r="H7" s="311" t="s">
        <v>14</v>
      </c>
      <c r="I7" s="310" t="s">
        <v>15</v>
      </c>
      <c r="J7" s="310" t="s">
        <v>16</v>
      </c>
      <c r="K7" s="310" t="s">
        <v>13</v>
      </c>
      <c r="L7" s="310" t="s">
        <v>14</v>
      </c>
      <c r="M7" s="310" t="s">
        <v>15</v>
      </c>
      <c r="N7" s="144" t="s">
        <v>16</v>
      </c>
      <c r="O7" s="378"/>
    </row>
    <row r="8" spans="1:19" ht="12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3">
        <v>8</v>
      </c>
      <c r="I8" s="2" t="s">
        <v>17</v>
      </c>
      <c r="J8" s="2" t="s">
        <v>18</v>
      </c>
      <c r="K8" s="2">
        <v>11</v>
      </c>
      <c r="L8" s="2">
        <v>12</v>
      </c>
      <c r="M8" s="2" t="s">
        <v>19</v>
      </c>
      <c r="N8" s="2" t="s">
        <v>20</v>
      </c>
      <c r="O8" s="2" t="s">
        <v>21</v>
      </c>
    </row>
    <row r="9" spans="1:19" ht="14.1" customHeight="1" x14ac:dyDescent="0.2">
      <c r="A9" s="87"/>
      <c r="B9" s="241"/>
      <c r="C9" s="242"/>
      <c r="D9" s="4"/>
      <c r="E9" s="4"/>
      <c r="F9" s="4"/>
      <c r="G9" s="241"/>
      <c r="H9" s="243"/>
      <c r="I9" s="241"/>
      <c r="J9" s="241"/>
      <c r="K9" s="241"/>
      <c r="L9" s="241"/>
      <c r="M9" s="241"/>
      <c r="N9" s="76"/>
      <c r="O9" s="241"/>
      <c r="P9" s="5"/>
      <c r="Q9" s="6"/>
      <c r="R9" s="6"/>
    </row>
    <row r="10" spans="1:19" ht="14.1" customHeight="1" x14ac:dyDescent="0.2">
      <c r="A10" s="74"/>
      <c r="B10" s="76"/>
      <c r="C10" s="244" t="s">
        <v>132</v>
      </c>
      <c r="D10" s="8"/>
      <c r="E10" s="8"/>
      <c r="F10" s="8"/>
      <c r="G10" s="76"/>
      <c r="H10" s="82"/>
      <c r="I10" s="76"/>
      <c r="J10" s="76"/>
      <c r="K10" s="76"/>
      <c r="L10" s="76"/>
      <c r="M10" s="76"/>
      <c r="N10" s="76"/>
      <c r="O10" s="76"/>
      <c r="P10" s="5"/>
      <c r="Q10" s="6"/>
      <c r="R10" s="6"/>
    </row>
    <row r="11" spans="1:19" ht="14.1" customHeight="1" x14ac:dyDescent="0.2">
      <c r="A11" s="74"/>
      <c r="B11" s="7"/>
      <c r="C11" s="76"/>
      <c r="D11" s="8"/>
      <c r="E11" s="8"/>
      <c r="F11" s="8"/>
      <c r="G11" s="76"/>
      <c r="H11" s="82"/>
      <c r="I11" s="76"/>
      <c r="J11" s="76"/>
      <c r="K11" s="76"/>
      <c r="L11" s="76"/>
      <c r="M11" s="76"/>
      <c r="N11" s="76"/>
      <c r="O11" s="76"/>
      <c r="P11" s="5"/>
      <c r="Q11" s="6"/>
      <c r="R11" s="6"/>
    </row>
    <row r="12" spans="1:19" s="26" customFormat="1" ht="24" customHeight="1" x14ac:dyDescent="0.25">
      <c r="A12" s="7"/>
      <c r="B12" s="217" t="s">
        <v>223</v>
      </c>
      <c r="C12" s="229" t="s">
        <v>222</v>
      </c>
      <c r="D12" s="10">
        <f>+D14+D24</f>
        <v>1121402300</v>
      </c>
      <c r="E12" s="10">
        <f t="shared" ref="E12:H12" si="0">+E14+E24</f>
        <v>0</v>
      </c>
      <c r="F12" s="10">
        <f t="shared" si="0"/>
        <v>1121402300</v>
      </c>
      <c r="G12" s="10">
        <f t="shared" si="0"/>
        <v>752633590</v>
      </c>
      <c r="H12" s="10">
        <f t="shared" si="0"/>
        <v>37235800</v>
      </c>
      <c r="I12" s="10">
        <f>+G12+H12</f>
        <v>789869390</v>
      </c>
      <c r="J12" s="168">
        <f>+I12/F12</f>
        <v>0.7043586320448959</v>
      </c>
      <c r="K12" s="10">
        <f t="shared" ref="K12:L12" si="1">+K14+K24</f>
        <v>736628590</v>
      </c>
      <c r="L12" s="10">
        <f t="shared" si="1"/>
        <v>14847600</v>
      </c>
      <c r="M12" s="180">
        <f>+K12+L12</f>
        <v>751476190</v>
      </c>
      <c r="N12" s="169">
        <f>+M12/F12</f>
        <v>0.67012185546614267</v>
      </c>
      <c r="O12" s="10">
        <f>+F12-M12</f>
        <v>369926110</v>
      </c>
      <c r="P12" s="77"/>
      <c r="Q12" s="6" t="str">
        <f t="shared" ref="Q12" si="2">IF(M12&lt;=I12,"OKE","Salah")</f>
        <v>OKE</v>
      </c>
      <c r="R12" s="6"/>
      <c r="S12" s="240"/>
    </row>
    <row r="13" spans="1:19" s="26" customFormat="1" ht="14.1" customHeight="1" x14ac:dyDescent="0.25">
      <c r="A13" s="74"/>
      <c r="B13" s="74"/>
      <c r="C13" s="33"/>
      <c r="D13" s="8"/>
      <c r="E13" s="8"/>
      <c r="F13" s="8"/>
      <c r="G13" s="76"/>
      <c r="H13" s="82"/>
      <c r="I13" s="76"/>
      <c r="J13" s="86"/>
      <c r="K13" s="76"/>
      <c r="L13" s="80"/>
      <c r="M13" s="76"/>
      <c r="N13" s="86"/>
      <c r="O13" s="10"/>
      <c r="P13" s="77"/>
      <c r="Q13" s="6"/>
      <c r="R13" s="6"/>
      <c r="S13" s="240"/>
    </row>
    <row r="14" spans="1:19" s="77" customFormat="1" ht="19.5" customHeight="1" x14ac:dyDescent="0.2">
      <c r="A14" s="237"/>
      <c r="B14" s="217" t="s">
        <v>225</v>
      </c>
      <c r="C14" s="238" t="s">
        <v>224</v>
      </c>
      <c r="D14" s="178">
        <f>+D16+D20+D18</f>
        <v>923587300</v>
      </c>
      <c r="E14" s="221"/>
      <c r="F14" s="221">
        <f>+D14+E14</f>
        <v>923587300</v>
      </c>
      <c r="G14" s="178">
        <f>+G16+G20+G18</f>
        <v>566229090</v>
      </c>
      <c r="H14" s="178">
        <f>+H16+H20+H18</f>
        <v>35030800</v>
      </c>
      <c r="I14" s="10">
        <f>+G14+H14</f>
        <v>601259890</v>
      </c>
      <c r="J14" s="168">
        <f>+I14/F14</f>
        <v>0.65100493477985244</v>
      </c>
      <c r="K14" s="178">
        <f>+K16+K20+K18</f>
        <v>550959090</v>
      </c>
      <c r="L14" s="178">
        <f>+L16+L20+L18</f>
        <v>14847600</v>
      </c>
      <c r="M14" s="180">
        <f>+K14+L14</f>
        <v>565806690</v>
      </c>
      <c r="N14" s="169">
        <f>+M14/F14</f>
        <v>0.61261852561203478</v>
      </c>
      <c r="O14" s="10">
        <f>+F14-M14</f>
        <v>357780610</v>
      </c>
      <c r="Q14" s="6" t="str">
        <f t="shared" ref="Q14:Q20" si="3">IF(M14&lt;=I14,"OKE","Salah")</f>
        <v>OKE</v>
      </c>
      <c r="R14" s="6"/>
      <c r="S14" s="68"/>
    </row>
    <row r="15" spans="1:19" s="77" customFormat="1" ht="9" customHeight="1" x14ac:dyDescent="0.2">
      <c r="A15" s="74"/>
      <c r="B15" s="75"/>
      <c r="C15" s="8"/>
      <c r="D15" s="15"/>
      <c r="E15" s="17"/>
      <c r="F15" s="17"/>
      <c r="G15" s="78"/>
      <c r="H15" s="79"/>
      <c r="I15" s="15"/>
      <c r="J15" s="143"/>
      <c r="K15" s="80"/>
      <c r="L15" s="80"/>
      <c r="M15" s="80"/>
      <c r="N15" s="171"/>
      <c r="O15" s="15"/>
      <c r="Q15" s="6"/>
      <c r="R15" s="6"/>
      <c r="S15" s="68"/>
    </row>
    <row r="16" spans="1:19" s="77" customFormat="1" ht="14.1" customHeight="1" x14ac:dyDescent="0.2">
      <c r="A16" s="74">
        <v>1</v>
      </c>
      <c r="B16" s="204" t="s">
        <v>295</v>
      </c>
      <c r="C16" s="27" t="s">
        <v>309</v>
      </c>
      <c r="D16" s="13">
        <v>410359700</v>
      </c>
      <c r="E16" s="13"/>
      <c r="F16" s="13">
        <f>+D16+E16</f>
        <v>410359700</v>
      </c>
      <c r="G16" s="80">
        <f>+agt!I16</f>
        <v>199585880</v>
      </c>
      <c r="H16" s="80">
        <f>14847600+19043200</f>
        <v>33890800</v>
      </c>
      <c r="I16" s="15">
        <f>+G16+H16</f>
        <v>233476680</v>
      </c>
      <c r="J16" s="143">
        <f>+I16/F16</f>
        <v>0.56895616211825872</v>
      </c>
      <c r="K16" s="80">
        <f>+agt!M16</f>
        <v>199585880</v>
      </c>
      <c r="L16" s="80">
        <v>14847600</v>
      </c>
      <c r="M16" s="80">
        <f>+K16+L16</f>
        <v>214433480</v>
      </c>
      <c r="N16" s="171">
        <f>+M16/F16</f>
        <v>0.52255004572817454</v>
      </c>
      <c r="O16" s="15">
        <f>+F16-M16</f>
        <v>195926220</v>
      </c>
      <c r="Q16" s="6" t="str">
        <f t="shared" ref="Q16" si="4">IF(M16&lt;=I16,"OKE","Salah")</f>
        <v>OKE</v>
      </c>
      <c r="R16" s="6"/>
      <c r="S16" s="68"/>
    </row>
    <row r="17" spans="1:19" s="77" customFormat="1" ht="14.1" customHeight="1" x14ac:dyDescent="0.2">
      <c r="A17" s="74"/>
      <c r="B17" s="75"/>
      <c r="C17" s="83"/>
      <c r="D17" s="13"/>
      <c r="E17" s="13"/>
      <c r="F17" s="13"/>
      <c r="G17" s="80"/>
      <c r="H17" s="79"/>
      <c r="I17" s="15"/>
      <c r="J17" s="143"/>
      <c r="K17" s="80"/>
      <c r="L17" s="80"/>
      <c r="M17" s="80"/>
      <c r="N17" s="171"/>
      <c r="O17" s="15"/>
      <c r="Q17" s="6"/>
      <c r="R17" s="6"/>
      <c r="S17" s="68"/>
    </row>
    <row r="18" spans="1:19" s="77" customFormat="1" ht="14.1" customHeight="1" x14ac:dyDescent="0.2">
      <c r="A18" s="74">
        <v>2</v>
      </c>
      <c r="B18" s="204" t="s">
        <v>227</v>
      </c>
      <c r="C18" s="27" t="s">
        <v>226</v>
      </c>
      <c r="D18" s="13">
        <v>428227600</v>
      </c>
      <c r="E18" s="13"/>
      <c r="F18" s="13">
        <f>+D18+E18</f>
        <v>428227600</v>
      </c>
      <c r="G18" s="80">
        <f>+agt!I18</f>
        <v>334338810</v>
      </c>
      <c r="H18" s="79">
        <v>1140000</v>
      </c>
      <c r="I18" s="15">
        <f>+G18+H18</f>
        <v>335478810</v>
      </c>
      <c r="J18" s="143">
        <f>+I18/F18</f>
        <v>0.78341239565128451</v>
      </c>
      <c r="K18" s="80">
        <f>+agt!M18</f>
        <v>319068810</v>
      </c>
      <c r="L18" s="80">
        <v>0</v>
      </c>
      <c r="M18" s="80">
        <f>+K18+L18</f>
        <v>319068810</v>
      </c>
      <c r="N18" s="171">
        <f>+M18/F18</f>
        <v>0.74509165219616857</v>
      </c>
      <c r="O18" s="15">
        <f>+F18-M18</f>
        <v>109158790</v>
      </c>
      <c r="Q18" s="6" t="str">
        <f t="shared" ref="Q18" si="5">IF(M18&lt;=I18,"OKE","Salah")</f>
        <v>OKE</v>
      </c>
      <c r="R18" s="6"/>
      <c r="S18" s="68"/>
    </row>
    <row r="19" spans="1:19" s="77" customFormat="1" ht="14.1" customHeight="1" x14ac:dyDescent="0.2">
      <c r="A19" s="74"/>
      <c r="B19" s="75"/>
      <c r="C19" s="83"/>
      <c r="D19" s="13"/>
      <c r="E19" s="13"/>
      <c r="F19" s="13"/>
      <c r="G19" s="80"/>
      <c r="H19" s="79"/>
      <c r="I19" s="15"/>
      <c r="J19" s="143"/>
      <c r="K19" s="80"/>
      <c r="L19" s="80"/>
      <c r="M19" s="80"/>
      <c r="N19" s="171"/>
      <c r="O19" s="15"/>
      <c r="Q19" s="6"/>
      <c r="R19" s="6"/>
      <c r="S19" s="68"/>
    </row>
    <row r="20" spans="1:19" s="77" customFormat="1" ht="14.1" customHeight="1" x14ac:dyDescent="0.2">
      <c r="A20" s="74">
        <v>3</v>
      </c>
      <c r="B20" s="204" t="s">
        <v>229</v>
      </c>
      <c r="C20" s="27" t="s">
        <v>228</v>
      </c>
      <c r="D20" s="13">
        <v>85000000</v>
      </c>
      <c r="E20" s="13"/>
      <c r="F20" s="13">
        <f>+D20+E20</f>
        <v>85000000</v>
      </c>
      <c r="G20" s="80">
        <f>+agt!I20</f>
        <v>32304400</v>
      </c>
      <c r="H20" s="79">
        <v>0</v>
      </c>
      <c r="I20" s="15">
        <f>+G20+H20</f>
        <v>32304400</v>
      </c>
      <c r="J20" s="143">
        <f>+I20/F20</f>
        <v>0.38005176470588237</v>
      </c>
      <c r="K20" s="80">
        <f>+agt!M20</f>
        <v>32304400</v>
      </c>
      <c r="L20" s="80">
        <v>0</v>
      </c>
      <c r="M20" s="80">
        <f>+K20+L20</f>
        <v>32304400</v>
      </c>
      <c r="N20" s="171">
        <f>+M20/F20</f>
        <v>0.38005176470588237</v>
      </c>
      <c r="O20" s="15">
        <f>+F20-M20</f>
        <v>52695600</v>
      </c>
      <c r="Q20" s="6" t="str">
        <f t="shared" si="3"/>
        <v>OKE</v>
      </c>
      <c r="R20" s="6"/>
      <c r="S20" s="68"/>
    </row>
    <row r="21" spans="1:19" s="77" customFormat="1" ht="14.1" customHeight="1" x14ac:dyDescent="0.2">
      <c r="A21" s="74"/>
      <c r="B21" s="76"/>
      <c r="C21" s="76"/>
      <c r="D21" s="13"/>
      <c r="E21" s="13"/>
      <c r="F21" s="13"/>
      <c r="G21" s="80"/>
      <c r="H21" s="79"/>
      <c r="I21" s="80"/>
      <c r="J21" s="86"/>
      <c r="K21" s="80"/>
      <c r="L21" s="76"/>
      <c r="M21" s="76"/>
      <c r="N21" s="86"/>
      <c r="O21" s="10"/>
      <c r="Q21" s="6"/>
      <c r="R21" s="6"/>
      <c r="S21" s="68"/>
    </row>
    <row r="22" spans="1:19" s="77" customFormat="1" ht="14.1" customHeight="1" x14ac:dyDescent="0.2">
      <c r="A22" s="226"/>
      <c r="B22" s="231"/>
      <c r="C22" s="210" t="s">
        <v>171</v>
      </c>
      <c r="D22" s="224">
        <f>+D16+D20+D18</f>
        <v>923587300</v>
      </c>
      <c r="E22" s="225"/>
      <c r="F22" s="224">
        <f>+F16+F20+F18</f>
        <v>923587300</v>
      </c>
      <c r="G22" s="224">
        <f t="shared" ref="G22" si="6">+G16+G20+G18</f>
        <v>566229090</v>
      </c>
      <c r="H22" s="224">
        <f>+H16+H20+H18</f>
        <v>35030800</v>
      </c>
      <c r="I22" s="141">
        <f>+G22+H22</f>
        <v>601259890</v>
      </c>
      <c r="J22" s="233">
        <f>+I22/F22</f>
        <v>0.65100493477985244</v>
      </c>
      <c r="K22" s="224">
        <f t="shared" ref="K22:L22" si="7">+K16+K20+K18</f>
        <v>550959090</v>
      </c>
      <c r="L22" s="224">
        <f t="shared" si="7"/>
        <v>14847600</v>
      </c>
      <c r="M22" s="232">
        <f>+K22+L22</f>
        <v>565806690</v>
      </c>
      <c r="N22" s="233"/>
      <c r="O22" s="141"/>
      <c r="Q22" s="6"/>
      <c r="R22" s="6"/>
      <c r="S22" s="68"/>
    </row>
    <row r="23" spans="1:19" s="77" customFormat="1" ht="14.1" customHeight="1" x14ac:dyDescent="0.2">
      <c r="A23" s="212"/>
      <c r="B23" s="193"/>
      <c r="C23" s="208"/>
      <c r="D23" s="178"/>
      <c r="E23" s="221"/>
      <c r="F23" s="178"/>
      <c r="G23" s="180"/>
      <c r="H23" s="187"/>
      <c r="I23" s="180"/>
      <c r="J23" s="230"/>
      <c r="K23" s="194"/>
      <c r="L23" s="193"/>
      <c r="M23" s="193"/>
      <c r="N23" s="230"/>
      <c r="O23" s="10"/>
      <c r="Q23" s="6"/>
      <c r="R23" s="6"/>
      <c r="S23" s="68"/>
    </row>
    <row r="24" spans="1:19" s="77" customFormat="1" ht="14.1" customHeight="1" x14ac:dyDescent="0.2">
      <c r="A24" s="212"/>
      <c r="B24" s="217" t="s">
        <v>230</v>
      </c>
      <c r="C24" s="208" t="s">
        <v>231</v>
      </c>
      <c r="D24" s="178">
        <f>+D26</f>
        <v>197815000</v>
      </c>
      <c r="E24" s="221"/>
      <c r="F24" s="178">
        <f>+D24+E24</f>
        <v>197815000</v>
      </c>
      <c r="G24" s="178">
        <f t="shared" ref="G24" si="8">+G26</f>
        <v>186404500</v>
      </c>
      <c r="H24" s="178">
        <f>+H26</f>
        <v>2205000</v>
      </c>
      <c r="I24" s="10">
        <f>+G24+H24</f>
        <v>188609500</v>
      </c>
      <c r="J24" s="168">
        <f>+I24/F24</f>
        <v>0.95346409524050246</v>
      </c>
      <c r="K24" s="178">
        <f>+K26</f>
        <v>185669500</v>
      </c>
      <c r="L24" s="178">
        <f t="shared" ref="L24:M24" si="9">+L26</f>
        <v>0</v>
      </c>
      <c r="M24" s="178">
        <f t="shared" si="9"/>
        <v>185669500</v>
      </c>
      <c r="N24" s="169">
        <f>+M24/F24</f>
        <v>0.9386017238328741</v>
      </c>
      <c r="O24" s="10">
        <f t="shared" ref="O24" si="10">+D24-M24</f>
        <v>12145500</v>
      </c>
      <c r="Q24" s="6" t="str">
        <f t="shared" ref="Q24" si="11">IF(M24&lt;=I24,"OKE","Salah")</f>
        <v>OKE</v>
      </c>
      <c r="R24" s="6"/>
      <c r="S24" s="68"/>
    </row>
    <row r="25" spans="1:19" s="77" customFormat="1" ht="9" customHeight="1" x14ac:dyDescent="0.2">
      <c r="A25" s="74"/>
      <c r="B25" s="76"/>
      <c r="C25" s="83"/>
      <c r="D25" s="13"/>
      <c r="E25" s="14"/>
      <c r="F25" s="14"/>
      <c r="G25" s="80"/>
      <c r="H25" s="79"/>
      <c r="I25" s="80"/>
      <c r="J25" s="86"/>
      <c r="K25" s="78"/>
      <c r="L25" s="76"/>
      <c r="M25" s="76"/>
      <c r="N25" s="86"/>
      <c r="O25" s="10"/>
      <c r="Q25" s="6"/>
      <c r="R25" s="6"/>
      <c r="S25" s="68"/>
    </row>
    <row r="26" spans="1:19" s="77" customFormat="1" ht="14.1" customHeight="1" x14ac:dyDescent="0.2">
      <c r="A26" s="74">
        <v>4</v>
      </c>
      <c r="B26" s="204" t="s">
        <v>233</v>
      </c>
      <c r="C26" s="83" t="s">
        <v>232</v>
      </c>
      <c r="D26" s="13">
        <v>197815000</v>
      </c>
      <c r="E26" s="14"/>
      <c r="F26" s="13">
        <f>+D26+E26</f>
        <v>197815000</v>
      </c>
      <c r="G26" s="80">
        <f>+agt!I26</f>
        <v>186404500</v>
      </c>
      <c r="H26" s="79">
        <v>2205000</v>
      </c>
      <c r="I26" s="15">
        <f>+G26+H26</f>
        <v>188609500</v>
      </c>
      <c r="J26" s="143">
        <f>+I26/F26</f>
        <v>0.95346409524050246</v>
      </c>
      <c r="K26" s="80">
        <f>+agt!M26</f>
        <v>185669500</v>
      </c>
      <c r="L26" s="80">
        <v>0</v>
      </c>
      <c r="M26" s="80">
        <f>+K26+L26</f>
        <v>185669500</v>
      </c>
      <c r="N26" s="171">
        <f>+M26/F26</f>
        <v>0.9386017238328741</v>
      </c>
      <c r="O26" s="15">
        <f>+F26-M26</f>
        <v>12145500</v>
      </c>
      <c r="Q26" s="6" t="str">
        <f t="shared" ref="Q26" si="12">IF(M26&lt;=I26,"OKE","Salah")</f>
        <v>OKE</v>
      </c>
      <c r="R26" s="6"/>
      <c r="S26" s="68"/>
    </row>
    <row r="27" spans="1:19" s="77" customFormat="1" ht="14.1" customHeight="1" x14ac:dyDescent="0.2">
      <c r="A27" s="74"/>
      <c r="B27" s="75"/>
      <c r="C27" s="27"/>
      <c r="D27" s="13"/>
      <c r="E27" s="14"/>
      <c r="F27" s="13"/>
      <c r="G27" s="78"/>
      <c r="H27" s="79"/>
      <c r="I27" s="80"/>
      <c r="J27" s="143"/>
      <c r="K27" s="78"/>
      <c r="L27" s="80"/>
      <c r="M27" s="15"/>
      <c r="N27" s="171"/>
      <c r="O27" s="15"/>
      <c r="Q27" s="6"/>
      <c r="R27" s="6"/>
      <c r="S27" s="68"/>
    </row>
    <row r="28" spans="1:19" ht="14.1" customHeight="1" x14ac:dyDescent="0.2">
      <c r="A28" s="226"/>
      <c r="B28" s="235"/>
      <c r="C28" s="223" t="s">
        <v>171</v>
      </c>
      <c r="D28" s="224">
        <f>+D26</f>
        <v>197815000</v>
      </c>
      <c r="E28" s="224">
        <f t="shared" ref="E28" si="13">+E26</f>
        <v>0</v>
      </c>
      <c r="F28" s="224">
        <f>+D28+E28</f>
        <v>197815000</v>
      </c>
      <c r="G28" s="224">
        <f t="shared" ref="G28:H28" si="14">+G26</f>
        <v>186404500</v>
      </c>
      <c r="H28" s="224">
        <f t="shared" si="14"/>
        <v>2205000</v>
      </c>
      <c r="I28" s="232">
        <f>+G28+H28</f>
        <v>188609500</v>
      </c>
      <c r="J28" s="233">
        <f>+I28/F28</f>
        <v>0.95346409524050246</v>
      </c>
      <c r="K28" s="224">
        <f t="shared" ref="K28:L28" si="15">+K26</f>
        <v>185669500</v>
      </c>
      <c r="L28" s="224">
        <f t="shared" si="15"/>
        <v>0</v>
      </c>
      <c r="M28" s="232">
        <f>+K28+L28</f>
        <v>185669500</v>
      </c>
      <c r="N28" s="173">
        <f>+M28/F28</f>
        <v>0.9386017238328741</v>
      </c>
      <c r="O28" s="236"/>
      <c r="P28" s="77"/>
      <c r="Q28" s="6"/>
      <c r="R28" s="6"/>
    </row>
    <row r="29" spans="1:19" ht="14.1" customHeight="1" x14ac:dyDescent="0.2">
      <c r="A29" s="139"/>
      <c r="B29" s="139"/>
      <c r="C29" s="245"/>
      <c r="D29" s="150"/>
      <c r="E29" s="150"/>
      <c r="F29" s="150"/>
      <c r="G29" s="188"/>
      <c r="H29" s="246"/>
      <c r="I29" s="188"/>
      <c r="J29" s="247"/>
      <c r="K29" s="188"/>
      <c r="L29" s="245"/>
      <c r="M29" s="245"/>
      <c r="N29" s="247"/>
      <c r="O29" s="245"/>
      <c r="P29" s="77"/>
      <c r="Q29" s="6"/>
      <c r="R29" s="6"/>
    </row>
    <row r="30" spans="1:19" ht="14.1" customHeight="1" x14ac:dyDescent="0.2">
      <c r="A30" s="388"/>
      <c r="B30" s="390"/>
      <c r="C30" s="392" t="s">
        <v>135</v>
      </c>
      <c r="D30" s="364">
        <f>+D22+D28</f>
        <v>1121402300</v>
      </c>
      <c r="E30" s="364">
        <f>E12</f>
        <v>0</v>
      </c>
      <c r="F30" s="364">
        <f>F12</f>
        <v>1121402300</v>
      </c>
      <c r="G30" s="364">
        <f t="shared" ref="G30:H30" si="16">G12</f>
        <v>752633590</v>
      </c>
      <c r="H30" s="364">
        <f t="shared" si="16"/>
        <v>37235800</v>
      </c>
      <c r="I30" s="364">
        <f>+G30+H30</f>
        <v>789869390</v>
      </c>
      <c r="J30" s="368">
        <f>+I30/F30</f>
        <v>0.7043586320448959</v>
      </c>
      <c r="K30" s="364">
        <f t="shared" ref="K30:L30" si="17">K12</f>
        <v>736628590</v>
      </c>
      <c r="L30" s="364">
        <f t="shared" si="17"/>
        <v>14847600</v>
      </c>
      <c r="M30" s="364">
        <f>+K30+L30</f>
        <v>751476190</v>
      </c>
      <c r="N30" s="366">
        <f>+M30/F30</f>
        <v>0.67012185546614267</v>
      </c>
      <c r="O30" s="364">
        <f>+F30-M30</f>
        <v>369926110</v>
      </c>
      <c r="P30" s="77"/>
      <c r="Q30" s="6" t="str">
        <f t="shared" ref="Q30:Q31" si="18">IF(M30&lt;=I30,"OKE","Salah")</f>
        <v>OKE</v>
      </c>
      <c r="R30" s="6"/>
    </row>
    <row r="31" spans="1:19" ht="12.75" customHeight="1" x14ac:dyDescent="0.2">
      <c r="A31" s="389"/>
      <c r="B31" s="391"/>
      <c r="C31" s="393"/>
      <c r="D31" s="365"/>
      <c r="E31" s="365"/>
      <c r="F31" s="451"/>
      <c r="G31" s="365"/>
      <c r="H31" s="365"/>
      <c r="I31" s="365"/>
      <c r="J31" s="369"/>
      <c r="K31" s="365"/>
      <c r="L31" s="365"/>
      <c r="M31" s="365"/>
      <c r="N31" s="367"/>
      <c r="O31" s="365"/>
      <c r="P31" s="77"/>
      <c r="Q31" s="6" t="str">
        <f t="shared" si="18"/>
        <v>OKE</v>
      </c>
      <c r="R31" s="6"/>
    </row>
    <row r="32" spans="1:19" ht="14.1" customHeight="1" x14ac:dyDescent="0.2">
      <c r="A32" s="87"/>
      <c r="B32" s="241"/>
      <c r="C32" s="242"/>
      <c r="D32" s="4"/>
      <c r="E32" s="4"/>
      <c r="F32" s="4"/>
      <c r="G32" s="241"/>
      <c r="H32" s="243"/>
      <c r="I32" s="241"/>
      <c r="J32" s="248"/>
      <c r="K32" s="241"/>
      <c r="L32" s="241"/>
      <c r="M32" s="241"/>
      <c r="N32" s="248"/>
      <c r="O32" s="241"/>
      <c r="P32" s="5"/>
      <c r="Q32" s="6"/>
      <c r="R32" s="6"/>
    </row>
    <row r="33" spans="1:19" ht="14.1" customHeight="1" x14ac:dyDescent="0.2">
      <c r="A33" s="74"/>
      <c r="B33" s="76"/>
      <c r="C33" s="244" t="s">
        <v>56</v>
      </c>
      <c r="D33" s="8"/>
      <c r="E33" s="8"/>
      <c r="F33" s="8"/>
      <c r="G33" s="76"/>
      <c r="H33" s="82"/>
      <c r="I33" s="76"/>
      <c r="J33" s="86"/>
      <c r="K33" s="76"/>
      <c r="L33" s="76"/>
      <c r="M33" s="76"/>
      <c r="N33" s="86"/>
      <c r="O33" s="76"/>
      <c r="P33" s="5"/>
      <c r="Q33" s="6"/>
      <c r="R33" s="6"/>
    </row>
    <row r="34" spans="1:19" ht="14.1" customHeight="1" x14ac:dyDescent="0.2">
      <c r="A34" s="74"/>
      <c r="B34" s="76"/>
      <c r="C34" s="244"/>
      <c r="D34" s="8"/>
      <c r="E34" s="8"/>
      <c r="F34" s="8"/>
      <c r="G34" s="76"/>
      <c r="H34" s="82"/>
      <c r="I34" s="76"/>
      <c r="J34" s="86"/>
      <c r="K34" s="76"/>
      <c r="L34" s="76"/>
      <c r="M34" s="76"/>
      <c r="N34" s="86"/>
      <c r="O34" s="76"/>
      <c r="P34" s="5"/>
      <c r="Q34" s="6"/>
      <c r="R34" s="6"/>
    </row>
    <row r="35" spans="1:19" ht="24.75" customHeight="1" x14ac:dyDescent="0.2">
      <c r="A35" s="7"/>
      <c r="B35" s="217" t="s">
        <v>223</v>
      </c>
      <c r="C35" s="201" t="s">
        <v>222</v>
      </c>
      <c r="D35" s="10">
        <f>D45</f>
        <v>659000000</v>
      </c>
      <c r="E35" s="10">
        <f>E45</f>
        <v>0</v>
      </c>
      <c r="F35" s="10">
        <f>+D35+E35</f>
        <v>659000000</v>
      </c>
      <c r="G35" s="10">
        <f t="shared" ref="G35:H35" si="19">G45</f>
        <v>172935500</v>
      </c>
      <c r="H35" s="11">
        <f t="shared" si="19"/>
        <v>26850000</v>
      </c>
      <c r="I35" s="10">
        <f>+G35+H35</f>
        <v>199785500</v>
      </c>
      <c r="J35" s="168">
        <f>+I35/F35</f>
        <v>0.30316464339908955</v>
      </c>
      <c r="K35" s="10">
        <f t="shared" ref="K35:L35" si="20">K45</f>
        <v>172264500</v>
      </c>
      <c r="L35" s="10">
        <f t="shared" si="20"/>
        <v>26836200</v>
      </c>
      <c r="M35" s="10">
        <f>+K35+L35</f>
        <v>199100700</v>
      </c>
      <c r="N35" s="169">
        <f>+M35/F35</f>
        <v>0.30212549317147191</v>
      </c>
      <c r="O35" s="10">
        <f>+F35-M35</f>
        <v>459899300</v>
      </c>
      <c r="P35" s="77"/>
      <c r="Q35" s="6" t="str">
        <f t="shared" ref="Q35:Q60" si="21">IF(M35&lt;=I35,"OKE","Salah")</f>
        <v>OKE</v>
      </c>
      <c r="R35" s="6"/>
    </row>
    <row r="36" spans="1:19" ht="14.25" customHeight="1" x14ac:dyDescent="0.2">
      <c r="A36" s="74"/>
      <c r="B36" s="74"/>
      <c r="C36" s="76"/>
      <c r="D36" s="15"/>
      <c r="E36" s="15"/>
      <c r="F36" s="15"/>
      <c r="G36" s="10"/>
      <c r="H36" s="79"/>
      <c r="I36" s="80"/>
      <c r="J36" s="86"/>
      <c r="K36" s="80"/>
      <c r="L36" s="76"/>
      <c r="M36" s="76"/>
      <c r="N36" s="86"/>
      <c r="O36" s="10"/>
      <c r="P36" s="77"/>
      <c r="Q36" s="6"/>
      <c r="R36" s="6"/>
    </row>
    <row r="37" spans="1:19" s="77" customFormat="1" ht="14.1" customHeight="1" x14ac:dyDescent="0.2">
      <c r="A37" s="74"/>
      <c r="B37" s="214" t="s">
        <v>235</v>
      </c>
      <c r="C37" s="25" t="s">
        <v>234</v>
      </c>
      <c r="D37" s="178">
        <f>+D39+D41+D43</f>
        <v>659000000</v>
      </c>
      <c r="E37" s="221"/>
      <c r="F37" s="178">
        <f>+D37+E37</f>
        <v>659000000</v>
      </c>
      <c r="G37" s="194">
        <f>+G39+G41+G43</f>
        <v>172935500</v>
      </c>
      <c r="H37" s="194">
        <f>+H39+H41+H43</f>
        <v>26850000</v>
      </c>
      <c r="I37" s="180">
        <f>+G37+H37</f>
        <v>199785500</v>
      </c>
      <c r="J37" s="168">
        <f>+I37/F37</f>
        <v>0.30316464339908955</v>
      </c>
      <c r="K37" s="194">
        <f>+K39+K41+K43</f>
        <v>172264500</v>
      </c>
      <c r="L37" s="194">
        <f>+L39+L41+L43</f>
        <v>26836200</v>
      </c>
      <c r="M37" s="180">
        <f>+K37+L37</f>
        <v>199100700</v>
      </c>
      <c r="N37" s="169">
        <f>+M37/F37</f>
        <v>0.30212549317147191</v>
      </c>
      <c r="O37" s="10">
        <f>+F37-M37</f>
        <v>459899300</v>
      </c>
      <c r="Q37" s="6" t="str">
        <f t="shared" si="21"/>
        <v>OKE</v>
      </c>
      <c r="R37" s="6"/>
      <c r="S37" s="68"/>
    </row>
    <row r="38" spans="1:19" s="77" customFormat="1" ht="12.95" customHeight="1" x14ac:dyDescent="0.2">
      <c r="A38" s="74"/>
      <c r="B38" s="75"/>
      <c r="C38" s="27"/>
      <c r="D38" s="13"/>
      <c r="E38" s="14"/>
      <c r="F38" s="13"/>
      <c r="G38" s="78"/>
      <c r="H38" s="79"/>
      <c r="I38" s="80"/>
      <c r="J38" s="143"/>
      <c r="K38" s="78"/>
      <c r="L38" s="80"/>
      <c r="M38" s="80"/>
      <c r="N38" s="171"/>
      <c r="O38" s="15"/>
      <c r="Q38" s="6"/>
      <c r="R38" s="6"/>
      <c r="S38" s="68"/>
    </row>
    <row r="39" spans="1:19" s="77" customFormat="1" ht="12.95" customHeight="1" x14ac:dyDescent="0.2">
      <c r="A39" s="74">
        <v>1</v>
      </c>
      <c r="B39" s="75" t="s">
        <v>237</v>
      </c>
      <c r="C39" s="83" t="s">
        <v>236</v>
      </c>
      <c r="D39" s="13">
        <v>160000000</v>
      </c>
      <c r="E39" s="14"/>
      <c r="F39" s="13">
        <f>+D39+E39</f>
        <v>160000000</v>
      </c>
      <c r="G39" s="80">
        <f>+agt!I39</f>
        <v>98025000</v>
      </c>
      <c r="H39" s="79">
        <v>0</v>
      </c>
      <c r="I39" s="80">
        <f>+G39+H39</f>
        <v>98025000</v>
      </c>
      <c r="J39" s="143">
        <f>+I39/F39</f>
        <v>0.61265625000000001</v>
      </c>
      <c r="K39" s="80">
        <f>+agt!M39</f>
        <v>98023250</v>
      </c>
      <c r="L39" s="80">
        <v>0</v>
      </c>
      <c r="M39" s="80">
        <f>+K39+L39</f>
        <v>98023250</v>
      </c>
      <c r="N39" s="171">
        <f>+M39/F39</f>
        <v>0.61264531249999998</v>
      </c>
      <c r="O39" s="15">
        <f>+F39-M39</f>
        <v>61976750</v>
      </c>
      <c r="Q39" s="6" t="str">
        <f t="shared" si="21"/>
        <v>OKE</v>
      </c>
      <c r="R39" s="6"/>
      <c r="S39" s="68"/>
    </row>
    <row r="40" spans="1:19" s="77" customFormat="1" ht="12.95" customHeight="1" x14ac:dyDescent="0.2">
      <c r="A40" s="74"/>
      <c r="B40" s="75"/>
      <c r="C40" s="83"/>
      <c r="D40" s="13"/>
      <c r="E40" s="14"/>
      <c r="F40" s="13"/>
      <c r="G40" s="78"/>
      <c r="H40" s="79"/>
      <c r="I40" s="80"/>
      <c r="J40" s="143"/>
      <c r="K40" s="78"/>
      <c r="L40" s="80"/>
      <c r="M40" s="80"/>
      <c r="N40" s="171"/>
      <c r="O40" s="15"/>
      <c r="Q40" s="6"/>
      <c r="R40" s="6"/>
      <c r="S40" s="68"/>
    </row>
    <row r="41" spans="1:19" s="77" customFormat="1" ht="12.95" customHeight="1" x14ac:dyDescent="0.2">
      <c r="A41" s="74">
        <v>2</v>
      </c>
      <c r="B41" s="75" t="s">
        <v>239</v>
      </c>
      <c r="C41" s="83" t="s">
        <v>238</v>
      </c>
      <c r="D41" s="13">
        <v>319000000</v>
      </c>
      <c r="E41" s="14"/>
      <c r="F41" s="13">
        <f>+D41+E41</f>
        <v>319000000</v>
      </c>
      <c r="G41" s="80">
        <f>+agt!I41</f>
        <v>37755000</v>
      </c>
      <c r="H41" s="30">
        <v>0</v>
      </c>
      <c r="I41" s="80">
        <f>+G41+H41</f>
        <v>37755000</v>
      </c>
      <c r="J41" s="143">
        <f>+I41/F41</f>
        <v>0.11835423197492163</v>
      </c>
      <c r="K41" s="80">
        <f>+agt!M41</f>
        <v>37085750</v>
      </c>
      <c r="L41" s="15">
        <v>0</v>
      </c>
      <c r="M41" s="80">
        <f>+K41+L41</f>
        <v>37085750</v>
      </c>
      <c r="N41" s="171">
        <f>+M41/F41</f>
        <v>0.11625626959247649</v>
      </c>
      <c r="O41" s="15">
        <f>+F41-M41</f>
        <v>281914250</v>
      </c>
      <c r="Q41" s="6" t="str">
        <f t="shared" ref="Q41:Q43" si="22">IF(M41&lt;=I41,"OKE","Salah")</f>
        <v>OKE</v>
      </c>
      <c r="R41" s="6"/>
      <c r="S41" s="68"/>
    </row>
    <row r="42" spans="1:19" s="77" customFormat="1" ht="12.95" customHeight="1" x14ac:dyDescent="0.2">
      <c r="A42" s="74"/>
      <c r="B42" s="75"/>
      <c r="C42" s="76"/>
      <c r="D42" s="13"/>
      <c r="E42" s="14"/>
      <c r="F42" s="13"/>
      <c r="G42" s="78"/>
      <c r="H42" s="30"/>
      <c r="I42" s="80"/>
      <c r="J42" s="143"/>
      <c r="K42" s="78"/>
      <c r="L42" s="15"/>
      <c r="M42" s="80"/>
      <c r="N42" s="171"/>
      <c r="O42" s="15"/>
      <c r="Q42" s="6"/>
      <c r="R42" s="6"/>
      <c r="S42" s="68"/>
    </row>
    <row r="43" spans="1:19" s="77" customFormat="1" ht="12.95" customHeight="1" x14ac:dyDescent="0.2">
      <c r="A43" s="74">
        <v>3</v>
      </c>
      <c r="B43" s="75" t="s">
        <v>241</v>
      </c>
      <c r="C43" s="467" t="s">
        <v>240</v>
      </c>
      <c r="D43" s="13">
        <v>180000000</v>
      </c>
      <c r="E43" s="14"/>
      <c r="F43" s="13">
        <f>+D43+E43</f>
        <v>180000000</v>
      </c>
      <c r="G43" s="80">
        <f>+agt!I43</f>
        <v>37155500</v>
      </c>
      <c r="H43" s="79">
        <v>26850000</v>
      </c>
      <c r="I43" s="80">
        <f>+G43+H43</f>
        <v>64005500</v>
      </c>
      <c r="J43" s="143">
        <f>+I43/F43</f>
        <v>0.3555861111111111</v>
      </c>
      <c r="K43" s="80">
        <f>+agt!M43</f>
        <v>37155500</v>
      </c>
      <c r="L43" s="80">
        <v>26836200</v>
      </c>
      <c r="M43" s="80">
        <f>+K43+L43</f>
        <v>63991700</v>
      </c>
      <c r="N43" s="171">
        <f>+M43/F43</f>
        <v>0.35550944444444443</v>
      </c>
      <c r="O43" s="15">
        <f>+F43-M43</f>
        <v>116008300</v>
      </c>
      <c r="Q43" s="6" t="str">
        <f t="shared" si="22"/>
        <v>OKE</v>
      </c>
      <c r="R43" s="6"/>
      <c r="S43" s="68"/>
    </row>
    <row r="44" spans="1:19" s="77" customFormat="1" ht="12.95" customHeight="1" x14ac:dyDescent="0.2">
      <c r="A44" s="74"/>
      <c r="B44" s="75"/>
      <c r="C44" s="467"/>
      <c r="D44" s="15"/>
      <c r="E44" s="15"/>
      <c r="F44" s="15"/>
      <c r="G44" s="80"/>
      <c r="H44" s="79"/>
      <c r="I44" s="80"/>
      <c r="J44" s="86"/>
      <c r="K44" s="80"/>
      <c r="L44" s="93"/>
      <c r="M44" s="76"/>
      <c r="N44" s="86"/>
      <c r="O44" s="10"/>
      <c r="Q44" s="6"/>
      <c r="R44" s="6"/>
      <c r="S44" s="68"/>
    </row>
    <row r="45" spans="1:19" ht="12.95" customHeight="1" x14ac:dyDescent="0.2">
      <c r="A45" s="74"/>
      <c r="B45" s="76"/>
      <c r="C45" s="9" t="s">
        <v>172</v>
      </c>
      <c r="D45" s="10">
        <f>SUM(D39:D43)</f>
        <v>659000000</v>
      </c>
      <c r="E45" s="10"/>
      <c r="F45" s="10">
        <f>E45+D45</f>
        <v>659000000</v>
      </c>
      <c r="G45" s="10">
        <f>SUM(G39:G43)</f>
        <v>172935500</v>
      </c>
      <c r="H45" s="10">
        <f>SUM(H39:H43)</f>
        <v>26850000</v>
      </c>
      <c r="I45" s="10">
        <f>+G45+H45</f>
        <v>199785500</v>
      </c>
      <c r="J45" s="168">
        <f>+I45/F45</f>
        <v>0.30316464339908955</v>
      </c>
      <c r="K45" s="10">
        <f>SUM(K39:K43)</f>
        <v>172264500</v>
      </c>
      <c r="L45" s="10">
        <f>SUM(L39:L43)</f>
        <v>26836200</v>
      </c>
      <c r="M45" s="10">
        <f>+K45+L45</f>
        <v>199100700</v>
      </c>
      <c r="N45" s="169">
        <f>+M45/F45</f>
        <v>0.30212549317147191</v>
      </c>
      <c r="O45" s="10">
        <f>+D45-M45</f>
        <v>459899300</v>
      </c>
      <c r="P45" s="77"/>
      <c r="Q45" s="6" t="str">
        <f t="shared" si="21"/>
        <v>OKE</v>
      </c>
      <c r="R45" s="6"/>
    </row>
    <row r="46" spans="1:19" ht="12.95" customHeight="1" x14ac:dyDescent="0.2">
      <c r="A46" s="89"/>
      <c r="B46" s="76"/>
      <c r="C46" s="76"/>
      <c r="D46" s="8"/>
      <c r="E46" s="8"/>
      <c r="F46" s="8"/>
      <c r="G46" s="76"/>
      <c r="H46" s="82"/>
      <c r="I46" s="76"/>
      <c r="J46" s="86"/>
      <c r="K46" s="76"/>
      <c r="L46" s="76"/>
      <c r="M46" s="76"/>
      <c r="N46" s="86"/>
      <c r="O46" s="76"/>
      <c r="P46" s="83"/>
      <c r="Q46" s="6"/>
      <c r="R46" s="6"/>
    </row>
    <row r="47" spans="1:19" s="70" customFormat="1" ht="14.1" customHeight="1" x14ac:dyDescent="0.2">
      <c r="A47" s="384"/>
      <c r="B47" s="385"/>
      <c r="C47" s="386" t="s">
        <v>58</v>
      </c>
      <c r="D47" s="387">
        <f>D45</f>
        <v>659000000</v>
      </c>
      <c r="E47" s="364">
        <f>E45</f>
        <v>0</v>
      </c>
      <c r="F47" s="364">
        <f>+D47+E47</f>
        <v>659000000</v>
      </c>
      <c r="G47" s="387">
        <f t="shared" ref="G47:H47" si="23">G45</f>
        <v>172935500</v>
      </c>
      <c r="H47" s="387">
        <f t="shared" si="23"/>
        <v>26850000</v>
      </c>
      <c r="I47" s="387">
        <f>+G47+H47</f>
        <v>199785500</v>
      </c>
      <c r="J47" s="397">
        <f>+I47/F47</f>
        <v>0.30316464339908955</v>
      </c>
      <c r="K47" s="387">
        <f t="shared" ref="K47:M47" si="24">K45</f>
        <v>172264500</v>
      </c>
      <c r="L47" s="387">
        <f t="shared" si="24"/>
        <v>26836200</v>
      </c>
      <c r="M47" s="387">
        <f t="shared" si="24"/>
        <v>199100700</v>
      </c>
      <c r="N47" s="394">
        <f>+M47/F47</f>
        <v>0.30212549317147191</v>
      </c>
      <c r="O47" s="387">
        <f>+F47-M47</f>
        <v>459899300</v>
      </c>
      <c r="P47" s="76"/>
      <c r="Q47" s="6" t="str">
        <f t="shared" si="21"/>
        <v>OKE</v>
      </c>
      <c r="R47" s="6"/>
    </row>
    <row r="48" spans="1:19" s="70" customFormat="1" ht="8.25" customHeight="1" x14ac:dyDescent="0.2">
      <c r="A48" s="384"/>
      <c r="B48" s="384"/>
      <c r="C48" s="384"/>
      <c r="D48" s="386"/>
      <c r="E48" s="365"/>
      <c r="F48" s="365"/>
      <c r="G48" s="386"/>
      <c r="H48" s="386"/>
      <c r="I48" s="386"/>
      <c r="J48" s="397"/>
      <c r="K48" s="386"/>
      <c r="L48" s="386"/>
      <c r="M48" s="386"/>
      <c r="N48" s="394"/>
      <c r="O48" s="386"/>
      <c r="P48" s="83"/>
      <c r="Q48" s="36" t="str">
        <f t="shared" si="21"/>
        <v>OKE</v>
      </c>
      <c r="R48" s="36"/>
    </row>
    <row r="49" spans="1:18" ht="14.1" customHeight="1" x14ac:dyDescent="0.2">
      <c r="A49" s="74"/>
      <c r="B49" s="76"/>
      <c r="C49" s="244"/>
      <c r="D49" s="8"/>
      <c r="E49" s="8"/>
      <c r="F49" s="8"/>
      <c r="G49" s="76"/>
      <c r="H49" s="82"/>
      <c r="I49" s="76"/>
      <c r="J49" s="86"/>
      <c r="K49" s="76"/>
      <c r="L49" s="76"/>
      <c r="M49" s="76"/>
      <c r="N49" s="248"/>
      <c r="O49" s="241"/>
      <c r="P49" s="5"/>
      <c r="Q49" s="6"/>
      <c r="R49" s="6"/>
    </row>
    <row r="50" spans="1:18" ht="19.5" customHeight="1" x14ac:dyDescent="0.2">
      <c r="A50" s="74"/>
      <c r="B50" s="76"/>
      <c r="C50" s="244" t="s">
        <v>59</v>
      </c>
      <c r="D50" s="8"/>
      <c r="E50" s="8"/>
      <c r="F50" s="8"/>
      <c r="G50" s="76"/>
      <c r="H50" s="82"/>
      <c r="I50" s="76"/>
      <c r="J50" s="86"/>
      <c r="K50" s="76"/>
      <c r="L50" s="76"/>
      <c r="M50" s="76"/>
      <c r="N50" s="86"/>
      <c r="O50" s="76"/>
      <c r="P50" s="5"/>
      <c r="Q50" s="6"/>
      <c r="R50" s="6"/>
    </row>
    <row r="51" spans="1:18" ht="14.1" customHeight="1" x14ac:dyDescent="0.2">
      <c r="A51" s="74"/>
      <c r="B51" s="76"/>
      <c r="C51" s="244"/>
      <c r="D51" s="8"/>
      <c r="E51" s="8"/>
      <c r="F51" s="8"/>
      <c r="G51" s="76"/>
      <c r="H51" s="82"/>
      <c r="I51" s="76"/>
      <c r="J51" s="86"/>
      <c r="K51" s="76"/>
      <c r="L51" s="76"/>
      <c r="M51" s="76"/>
      <c r="N51" s="86"/>
      <c r="O51" s="76"/>
      <c r="P51" s="5"/>
      <c r="Q51" s="6" t="str">
        <f t="shared" si="21"/>
        <v>OKE</v>
      </c>
      <c r="R51" s="6"/>
    </row>
    <row r="52" spans="1:18" ht="24.75" customHeight="1" x14ac:dyDescent="0.2">
      <c r="A52" s="7"/>
      <c r="B52" s="217" t="s">
        <v>223</v>
      </c>
      <c r="C52" s="201" t="s">
        <v>222</v>
      </c>
      <c r="D52" s="10">
        <f>+D62</f>
        <v>17972244800</v>
      </c>
      <c r="E52" s="10">
        <f t="shared" ref="E52" si="25">+E62</f>
        <v>0</v>
      </c>
      <c r="F52" s="10">
        <f>+D52+E52</f>
        <v>17972244800</v>
      </c>
      <c r="G52" s="312">
        <f t="shared" ref="G52:H52" si="26">+G62</f>
        <v>15870465750</v>
      </c>
      <c r="H52" s="10">
        <f t="shared" si="26"/>
        <v>706419000</v>
      </c>
      <c r="I52" s="312">
        <f>+G52+H52</f>
        <v>16576884750</v>
      </c>
      <c r="J52" s="168">
        <f>+I52/F52</f>
        <v>0.9223602802249834</v>
      </c>
      <c r="K52" s="312">
        <f t="shared" ref="K52:L52" si="27">+K62</f>
        <v>15868972950</v>
      </c>
      <c r="L52" s="10">
        <f t="shared" si="27"/>
        <v>638976000</v>
      </c>
      <c r="M52" s="312">
        <f>+K52+L52</f>
        <v>16507948950</v>
      </c>
      <c r="N52" s="169">
        <f>+M52/F52</f>
        <v>0.91852459910850981</v>
      </c>
      <c r="O52" s="10">
        <f>+F52-M52</f>
        <v>1464295850</v>
      </c>
      <c r="P52" s="77"/>
      <c r="Q52" s="6" t="str">
        <f t="shared" si="21"/>
        <v>OKE</v>
      </c>
      <c r="R52" s="6"/>
    </row>
    <row r="53" spans="1:18" ht="14.1" customHeight="1" x14ac:dyDescent="0.2">
      <c r="A53" s="74"/>
      <c r="B53" s="74"/>
      <c r="C53" s="76"/>
      <c r="D53" s="15"/>
      <c r="E53" s="15"/>
      <c r="F53" s="15"/>
      <c r="G53" s="315"/>
      <c r="H53" s="79"/>
      <c r="I53" s="315"/>
      <c r="J53" s="86"/>
      <c r="K53" s="315"/>
      <c r="L53" s="80"/>
      <c r="M53" s="80"/>
      <c r="N53" s="86"/>
      <c r="O53" s="15"/>
      <c r="P53" s="77"/>
      <c r="Q53" s="6"/>
      <c r="R53" s="6"/>
    </row>
    <row r="54" spans="1:18" ht="17.100000000000001" customHeight="1" x14ac:dyDescent="0.2">
      <c r="A54" s="74"/>
      <c r="B54" s="215" t="s">
        <v>263</v>
      </c>
      <c r="C54" s="208" t="s">
        <v>260</v>
      </c>
      <c r="D54" s="178">
        <f>SUM(D56:D60)</f>
        <v>17972244800</v>
      </c>
      <c r="E54" s="221"/>
      <c r="F54" s="178">
        <f>+D54+E54</f>
        <v>17972244800</v>
      </c>
      <c r="G54" s="314">
        <f t="shared" ref="G54:H54" si="28">SUM(G56:G60)</f>
        <v>15870465750</v>
      </c>
      <c r="H54" s="178">
        <f t="shared" si="28"/>
        <v>706419000</v>
      </c>
      <c r="I54" s="312">
        <f>+G54+H54</f>
        <v>16576884750</v>
      </c>
      <c r="J54" s="168">
        <f>+I54/F54</f>
        <v>0.9223602802249834</v>
      </c>
      <c r="K54" s="314">
        <f>SUM(K56:K60)</f>
        <v>15868972950</v>
      </c>
      <c r="L54" s="314">
        <f>SUM(L56:L60)</f>
        <v>638976000</v>
      </c>
      <c r="M54" s="351">
        <f>+K54+L54</f>
        <v>16507948950</v>
      </c>
      <c r="N54" s="169">
        <f>+M54/F54</f>
        <v>0.91852459910850981</v>
      </c>
      <c r="O54" s="10">
        <f>+F54-M54</f>
        <v>1464295850</v>
      </c>
      <c r="P54" s="77"/>
      <c r="Q54" s="6" t="str">
        <f t="shared" si="21"/>
        <v>OKE</v>
      </c>
      <c r="R54" s="6"/>
    </row>
    <row r="55" spans="1:18" ht="17.100000000000001" customHeight="1" x14ac:dyDescent="0.2">
      <c r="A55" s="74"/>
      <c r="B55" s="29"/>
      <c r="C55" s="83"/>
      <c r="D55" s="13"/>
      <c r="E55" s="14"/>
      <c r="F55" s="13"/>
      <c r="G55" s="318"/>
      <c r="H55" s="79"/>
      <c r="I55" s="15"/>
      <c r="J55" s="143"/>
      <c r="K55" s="318"/>
      <c r="L55" s="80"/>
      <c r="M55" s="80"/>
      <c r="N55" s="171"/>
      <c r="O55" s="15"/>
      <c r="P55" s="77"/>
      <c r="Q55" s="6"/>
      <c r="R55" s="6"/>
    </row>
    <row r="56" spans="1:18" ht="17.100000000000001" customHeight="1" x14ac:dyDescent="0.2">
      <c r="A56" s="74">
        <v>1</v>
      </c>
      <c r="B56" s="29" t="s">
        <v>262</v>
      </c>
      <c r="C56" s="83" t="s">
        <v>261</v>
      </c>
      <c r="D56" s="13">
        <v>14135421500</v>
      </c>
      <c r="E56" s="14"/>
      <c r="F56" s="13">
        <f>+D56+E56</f>
        <v>14135421500</v>
      </c>
      <c r="G56" s="315">
        <f>+agt!I56</f>
        <v>13163125300</v>
      </c>
      <c r="H56" s="79">
        <f>9500000+355000000+29206000</f>
        <v>393706000</v>
      </c>
      <c r="I56" s="352">
        <f>+G56+H56</f>
        <v>13556831300</v>
      </c>
      <c r="J56" s="143">
        <f>+I56/F56</f>
        <v>0.95906806174828252</v>
      </c>
      <c r="K56" s="315">
        <f>+agt!M56</f>
        <v>13162777500</v>
      </c>
      <c r="L56" s="79">
        <f>9500000+355000000</f>
        <v>364500000</v>
      </c>
      <c r="M56" s="315">
        <f>+K56+L56</f>
        <v>13527277500</v>
      </c>
      <c r="N56" s="171">
        <f>+M56/F56</f>
        <v>0.95697729989869773</v>
      </c>
      <c r="O56" s="15">
        <f>+F56-M56</f>
        <v>608144000</v>
      </c>
      <c r="P56" s="77"/>
      <c r="Q56" s="6" t="str">
        <f t="shared" ref="Q56" si="29">IF(M56&lt;=I56,"OKE","Salah")</f>
        <v>OKE</v>
      </c>
      <c r="R56" s="6"/>
    </row>
    <row r="57" spans="1:18" ht="12" customHeight="1" x14ac:dyDescent="0.2">
      <c r="A57" s="74"/>
      <c r="B57" s="29"/>
      <c r="C57" s="83"/>
      <c r="D57" s="13"/>
      <c r="E57" s="14"/>
      <c r="F57" s="13"/>
      <c r="G57" s="318"/>
      <c r="H57" s="79"/>
      <c r="I57" s="15"/>
      <c r="J57" s="143"/>
      <c r="K57" s="318"/>
      <c r="L57" s="80"/>
      <c r="M57" s="80"/>
      <c r="N57" s="171"/>
      <c r="O57" s="15"/>
      <c r="P57" s="77"/>
      <c r="Q57" s="6"/>
      <c r="R57" s="6"/>
    </row>
    <row r="58" spans="1:18" ht="31.5" customHeight="1" x14ac:dyDescent="0.2">
      <c r="A58" s="74">
        <v>2</v>
      </c>
      <c r="B58" s="29" t="s">
        <v>265</v>
      </c>
      <c r="C58" s="304" t="s">
        <v>264</v>
      </c>
      <c r="D58" s="13">
        <v>2832643300</v>
      </c>
      <c r="E58" s="14"/>
      <c r="F58" s="13">
        <f>+D58+E58</f>
        <v>2832643300</v>
      </c>
      <c r="G58" s="315">
        <f>+agt!I58</f>
        <v>2157900000</v>
      </c>
      <c r="H58" s="79">
        <f>31000000+19626000+40000000+25000000+43000000+25000000+9200000</f>
        <v>192826000</v>
      </c>
      <c r="I58" s="15">
        <f>+G58+H58</f>
        <v>2350726000</v>
      </c>
      <c r="J58" s="143">
        <f>+I58/F58</f>
        <v>0.82987010754230861</v>
      </c>
      <c r="K58" s="315">
        <f>+agt!M58</f>
        <v>2157900000</v>
      </c>
      <c r="L58" s="80">
        <f>31000000+19626000+40000000+25000000+43000000+25000000</f>
        <v>183626000</v>
      </c>
      <c r="M58" s="80">
        <f>+K58+L58</f>
        <v>2341526000</v>
      </c>
      <c r="N58" s="171">
        <f>+M58/F58</f>
        <v>0.82662225773361586</v>
      </c>
      <c r="O58" s="15">
        <f>+F58-M58</f>
        <v>491117300</v>
      </c>
      <c r="P58" s="77"/>
      <c r="Q58" s="6" t="str">
        <f t="shared" ref="Q58" si="30">IF(M58&lt;=I58,"OKE","Salah")</f>
        <v>OKE</v>
      </c>
      <c r="R58" s="6"/>
    </row>
    <row r="59" spans="1:18" ht="12.75" customHeight="1" x14ac:dyDescent="0.2">
      <c r="A59" s="74"/>
      <c r="B59" s="29"/>
      <c r="C59" s="83"/>
      <c r="D59" s="13"/>
      <c r="E59" s="14"/>
      <c r="F59" s="13"/>
      <c r="G59" s="78"/>
      <c r="H59" s="79"/>
      <c r="I59" s="15"/>
      <c r="J59" s="143"/>
      <c r="K59" s="78"/>
      <c r="L59" s="80"/>
      <c r="M59" s="80"/>
      <c r="N59" s="171"/>
      <c r="O59" s="15"/>
      <c r="P59" s="77"/>
      <c r="Q59" s="6"/>
      <c r="R59" s="6"/>
    </row>
    <row r="60" spans="1:18" ht="27.75" customHeight="1" x14ac:dyDescent="0.2">
      <c r="A60" s="74">
        <v>3</v>
      </c>
      <c r="B60" s="204" t="s">
        <v>267</v>
      </c>
      <c r="C60" s="219" t="s">
        <v>266</v>
      </c>
      <c r="D60" s="13">
        <v>1004180000</v>
      </c>
      <c r="E60" s="14"/>
      <c r="F60" s="13">
        <f>+D60+E60</f>
        <v>1004180000</v>
      </c>
      <c r="G60" s="80">
        <f>+agt!I60</f>
        <v>549440450</v>
      </c>
      <c r="H60" s="79">
        <f>18850000+57000000+15000000+29037000</f>
        <v>119887000</v>
      </c>
      <c r="I60" s="15">
        <f>+G60+H60</f>
        <v>669327450</v>
      </c>
      <c r="J60" s="143">
        <f>+I60/F60</f>
        <v>0.66654130733533834</v>
      </c>
      <c r="K60" s="80">
        <f>+agt!M60</f>
        <v>548295450</v>
      </c>
      <c r="L60" s="80">
        <f>18850000+57000000+15000000</f>
        <v>90850000</v>
      </c>
      <c r="M60" s="80">
        <f>+K60+L60</f>
        <v>639145450</v>
      </c>
      <c r="N60" s="171">
        <f>+M60/F60</f>
        <v>0.63648494293851698</v>
      </c>
      <c r="O60" s="15">
        <f>+F60-M60</f>
        <v>365034550</v>
      </c>
      <c r="P60" s="77"/>
      <c r="Q60" s="6" t="str">
        <f t="shared" si="21"/>
        <v>OKE</v>
      </c>
      <c r="R60" s="6"/>
    </row>
    <row r="61" spans="1:18" ht="14.1" customHeight="1" x14ac:dyDescent="0.2">
      <c r="A61" s="139"/>
      <c r="B61" s="139"/>
      <c r="C61" s="140"/>
      <c r="D61" s="142"/>
      <c r="E61" s="142"/>
      <c r="F61" s="142"/>
      <c r="G61" s="188"/>
      <c r="H61" s="246"/>
      <c r="I61" s="188"/>
      <c r="J61" s="247"/>
      <c r="K61" s="188"/>
      <c r="L61" s="245"/>
      <c r="M61" s="245"/>
      <c r="N61" s="247"/>
      <c r="O61" s="245"/>
      <c r="P61" s="77"/>
      <c r="Q61" s="6"/>
      <c r="R61" s="6"/>
    </row>
    <row r="62" spans="1:18" ht="14.1" customHeight="1" x14ac:dyDescent="0.2">
      <c r="A62" s="388"/>
      <c r="B62" s="388"/>
      <c r="C62" s="395" t="s">
        <v>63</v>
      </c>
      <c r="D62" s="364">
        <f>SUM(D56:D60)</f>
        <v>17972244800</v>
      </c>
      <c r="E62" s="364">
        <f t="shared" ref="E62" si="31">SUM(E56:E60)</f>
        <v>0</v>
      </c>
      <c r="F62" s="364">
        <f>+D62+E62</f>
        <v>17972244800</v>
      </c>
      <c r="G62" s="455">
        <f>SUM(G56:G60)</f>
        <v>15870465750</v>
      </c>
      <c r="H62" s="364">
        <f>SUM(H56:H60)</f>
        <v>706419000</v>
      </c>
      <c r="I62" s="455">
        <f>H62+G62</f>
        <v>16576884750</v>
      </c>
      <c r="J62" s="368">
        <f>+I62/F62</f>
        <v>0.9223602802249834</v>
      </c>
      <c r="K62" s="455">
        <f>SUM(K56:K60)</f>
        <v>15868972950</v>
      </c>
      <c r="L62" s="364">
        <f>SUM(L56:L60)</f>
        <v>638976000</v>
      </c>
      <c r="M62" s="455">
        <f>K62+L62</f>
        <v>16507948950</v>
      </c>
      <c r="N62" s="366">
        <f>+M62/F62</f>
        <v>0.91852459910850981</v>
      </c>
      <c r="O62" s="364">
        <f>+F62-M62</f>
        <v>1464295850</v>
      </c>
      <c r="P62" s="77"/>
      <c r="Q62" s="6" t="str">
        <f>IF(M62&lt;=I62,"OKE","Salah")</f>
        <v>OKE</v>
      </c>
      <c r="R62" s="6"/>
    </row>
    <row r="63" spans="1:18" ht="11.25" customHeight="1" x14ac:dyDescent="0.2">
      <c r="A63" s="389"/>
      <c r="B63" s="389"/>
      <c r="C63" s="396"/>
      <c r="D63" s="365"/>
      <c r="E63" s="365"/>
      <c r="F63" s="365"/>
      <c r="G63" s="464"/>
      <c r="H63" s="365"/>
      <c r="I63" s="464"/>
      <c r="J63" s="369"/>
      <c r="K63" s="464"/>
      <c r="L63" s="365"/>
      <c r="M63" s="464"/>
      <c r="N63" s="367"/>
      <c r="O63" s="365"/>
      <c r="P63" s="77"/>
      <c r="Q63" s="6" t="str">
        <f>IF(M63&lt;=I63,"OKE","Salah")</f>
        <v>OKE</v>
      </c>
      <c r="R63" s="6"/>
    </row>
    <row r="64" spans="1:18" ht="17.100000000000001" customHeight="1" x14ac:dyDescent="0.2">
      <c r="A64" s="74"/>
      <c r="B64" s="76"/>
      <c r="C64" s="244"/>
      <c r="D64" s="8"/>
      <c r="E64" s="8"/>
      <c r="F64" s="8"/>
      <c r="G64" s="76"/>
      <c r="H64" s="82"/>
      <c r="I64" s="76"/>
      <c r="J64" s="86"/>
      <c r="K64" s="76"/>
      <c r="L64" s="76"/>
      <c r="M64" s="76"/>
      <c r="N64" s="248"/>
      <c r="O64" s="241"/>
      <c r="P64" s="77"/>
      <c r="Q64" s="6"/>
      <c r="R64" s="6"/>
    </row>
    <row r="65" spans="1:18" ht="17.100000000000001" customHeight="1" x14ac:dyDescent="0.2">
      <c r="A65" s="74"/>
      <c r="B65" s="76"/>
      <c r="C65" s="244" t="s">
        <v>133</v>
      </c>
      <c r="D65" s="8"/>
      <c r="E65" s="8"/>
      <c r="F65" s="8"/>
      <c r="G65" s="76"/>
      <c r="H65" s="82"/>
      <c r="I65" s="76"/>
      <c r="J65" s="86"/>
      <c r="K65" s="76"/>
      <c r="L65" s="76"/>
      <c r="M65" s="76"/>
      <c r="N65" s="86"/>
      <c r="O65" s="76"/>
      <c r="P65" s="77"/>
      <c r="Q65" s="6"/>
      <c r="R65" s="6"/>
    </row>
    <row r="66" spans="1:18" ht="17.100000000000001" customHeight="1" x14ac:dyDescent="0.2">
      <c r="A66" s="74"/>
      <c r="B66" s="76"/>
      <c r="C66" s="244"/>
      <c r="D66" s="8"/>
      <c r="E66" s="8"/>
      <c r="F66" s="8"/>
      <c r="G66" s="76"/>
      <c r="H66" s="82"/>
      <c r="I66" s="76"/>
      <c r="J66" s="86"/>
      <c r="K66" s="76"/>
      <c r="L66" s="76"/>
      <c r="M66" s="76"/>
      <c r="N66" s="86"/>
      <c r="O66" s="76"/>
      <c r="P66" s="77"/>
      <c r="Q66" s="6"/>
      <c r="R66" s="6"/>
    </row>
    <row r="67" spans="1:18" ht="27.75" customHeight="1" x14ac:dyDescent="0.2">
      <c r="A67" s="74"/>
      <c r="B67" s="217" t="s">
        <v>158</v>
      </c>
      <c r="C67" s="229" t="s">
        <v>245</v>
      </c>
      <c r="D67" s="239">
        <f>+D69</f>
        <v>6035935000</v>
      </c>
      <c r="E67" s="239">
        <f t="shared" ref="E67" si="32">+E77</f>
        <v>0</v>
      </c>
      <c r="F67" s="239">
        <f>+D67+E67</f>
        <v>6035935000</v>
      </c>
      <c r="G67" s="350">
        <f t="shared" ref="G67" si="33">+G77</f>
        <v>3941878750</v>
      </c>
      <c r="H67" s="239">
        <f>+H77</f>
        <v>57854000</v>
      </c>
      <c r="I67" s="10">
        <f>+G67+H67</f>
        <v>3999732750</v>
      </c>
      <c r="J67" s="168">
        <f>+I67/F67</f>
        <v>0.66265338344432134</v>
      </c>
      <c r="K67" s="351">
        <f>+K77</f>
        <v>3932817906</v>
      </c>
      <c r="L67" s="180">
        <f>+L77</f>
        <v>62061800</v>
      </c>
      <c r="M67" s="180">
        <f>+K67+L67</f>
        <v>3994879706</v>
      </c>
      <c r="N67" s="169">
        <f>+M67/F67</f>
        <v>0.66184935821873492</v>
      </c>
      <c r="O67" s="10">
        <f>+F67-M67</f>
        <v>2041055294</v>
      </c>
      <c r="P67" s="77"/>
      <c r="Q67" s="6" t="str">
        <f t="shared" ref="Q67" si="34">IF(M67&lt;=I67,"OKE","Salah")</f>
        <v>OKE</v>
      </c>
      <c r="R67" s="6"/>
    </row>
    <row r="68" spans="1:18" ht="12.75" customHeight="1" x14ac:dyDescent="0.2">
      <c r="A68" s="74"/>
      <c r="B68" s="74"/>
      <c r="C68" s="33"/>
      <c r="D68" s="13"/>
      <c r="E68" s="15"/>
      <c r="F68" s="15"/>
      <c r="G68" s="80"/>
      <c r="H68" s="79"/>
      <c r="I68" s="80"/>
      <c r="J68" s="86"/>
      <c r="K68" s="76"/>
      <c r="L68" s="76"/>
      <c r="M68" s="76"/>
      <c r="N68" s="86"/>
      <c r="O68" s="76"/>
      <c r="P68" s="77"/>
      <c r="Q68" s="6"/>
      <c r="R68" s="6"/>
    </row>
    <row r="69" spans="1:18" ht="17.100000000000001" customHeight="1" x14ac:dyDescent="0.2">
      <c r="A69" s="74"/>
      <c r="B69" s="217" t="s">
        <v>155</v>
      </c>
      <c r="C69" s="238" t="s">
        <v>246</v>
      </c>
      <c r="D69" s="178">
        <f>+D71+D73+D75</f>
        <v>6035935000</v>
      </c>
      <c r="E69" s="10"/>
      <c r="F69" s="221">
        <f>+D69+E69</f>
        <v>6035935000</v>
      </c>
      <c r="G69" s="351">
        <f>SUM(G71:G75)</f>
        <v>3941878750</v>
      </c>
      <c r="H69" s="180">
        <f>SUM(H71:H75)</f>
        <v>57854000</v>
      </c>
      <c r="I69" s="180">
        <f>+G69+H69</f>
        <v>3999732750</v>
      </c>
      <c r="J69" s="168">
        <f>+I69/F69</f>
        <v>0.66265338344432134</v>
      </c>
      <c r="K69" s="351">
        <f>SUM(K71:K75)</f>
        <v>3932817906</v>
      </c>
      <c r="L69" s="180">
        <f>SUM(L71:L75)</f>
        <v>62061800</v>
      </c>
      <c r="M69" s="180">
        <f>+K69+L69</f>
        <v>3994879706</v>
      </c>
      <c r="N69" s="169">
        <f>+M69/F69</f>
        <v>0.66184935821873492</v>
      </c>
      <c r="O69" s="10">
        <f>+F69-M69</f>
        <v>2041055294</v>
      </c>
      <c r="P69" s="192"/>
      <c r="Q69" s="6" t="str">
        <f t="shared" ref="Q69:Q71" si="35">IF(M69&lt;=I69,"OKE","Salah")</f>
        <v>OKE</v>
      </c>
      <c r="R69" s="6"/>
    </row>
    <row r="70" spans="1:18" ht="12.75" customHeight="1" x14ac:dyDescent="0.2">
      <c r="A70" s="74"/>
      <c r="B70" s="204"/>
      <c r="C70" s="281"/>
      <c r="D70" s="13"/>
      <c r="E70" s="15"/>
      <c r="F70" s="13"/>
      <c r="G70" s="80"/>
      <c r="H70" s="79"/>
      <c r="I70" s="80"/>
      <c r="J70" s="143"/>
      <c r="K70" s="76"/>
      <c r="L70" s="80"/>
      <c r="M70" s="76"/>
      <c r="N70" s="171"/>
      <c r="O70" s="15"/>
      <c r="P70" s="77"/>
      <c r="Q70" s="6"/>
      <c r="R70" s="6"/>
    </row>
    <row r="71" spans="1:18" ht="17.100000000000001" customHeight="1" x14ac:dyDescent="0.2">
      <c r="A71" s="74">
        <v>1</v>
      </c>
      <c r="B71" s="96" t="s">
        <v>248</v>
      </c>
      <c r="C71" s="27" t="s">
        <v>247</v>
      </c>
      <c r="D71" s="13">
        <v>373700000</v>
      </c>
      <c r="E71" s="15"/>
      <c r="F71" s="13">
        <f>+D71+E71</f>
        <v>373700000</v>
      </c>
      <c r="G71" s="80">
        <f>+agt!I71</f>
        <v>41317006</v>
      </c>
      <c r="H71" s="79">
        <f>30480000+20874000+2750000</f>
        <v>54104000</v>
      </c>
      <c r="I71" s="80">
        <f>+G71+H71</f>
        <v>95421006</v>
      </c>
      <c r="J71" s="143">
        <f>+I71/F71</f>
        <v>0.25534119882258494</v>
      </c>
      <c r="K71" s="80">
        <f>+agt!M71</f>
        <v>34064706</v>
      </c>
      <c r="L71" s="80">
        <f>30480000+20874000+5909800</f>
        <v>57263800</v>
      </c>
      <c r="M71" s="80">
        <f>+K71+L71</f>
        <v>91328506</v>
      </c>
      <c r="N71" s="171">
        <f>+M71/F71</f>
        <v>0.244389900990099</v>
      </c>
      <c r="O71" s="15">
        <f>+F71-M71</f>
        <v>282371494</v>
      </c>
      <c r="P71" s="77"/>
      <c r="Q71" s="6" t="str">
        <f t="shared" si="35"/>
        <v>OKE</v>
      </c>
      <c r="R71" s="6"/>
    </row>
    <row r="72" spans="1:18" ht="12.75" customHeight="1" x14ac:dyDescent="0.2">
      <c r="A72" s="74"/>
      <c r="B72" s="75"/>
      <c r="C72" s="181"/>
      <c r="D72" s="13"/>
      <c r="E72" s="15"/>
      <c r="F72" s="15"/>
      <c r="G72" s="80"/>
      <c r="H72" s="79"/>
      <c r="I72" s="80"/>
      <c r="J72" s="143"/>
      <c r="K72" s="76"/>
      <c r="L72" s="80"/>
      <c r="M72" s="76"/>
      <c r="N72" s="86"/>
      <c r="O72" s="15"/>
      <c r="P72" s="77"/>
      <c r="Q72" s="6"/>
      <c r="R72" s="6"/>
    </row>
    <row r="73" spans="1:18" ht="17.100000000000001" customHeight="1" x14ac:dyDescent="0.2">
      <c r="A73" s="74">
        <v>2</v>
      </c>
      <c r="B73" s="96" t="s">
        <v>250</v>
      </c>
      <c r="C73" s="181" t="s">
        <v>249</v>
      </c>
      <c r="D73" s="13">
        <v>171360400</v>
      </c>
      <c r="E73" s="15"/>
      <c r="F73" s="14">
        <f>+D73+E73</f>
        <v>171360400</v>
      </c>
      <c r="G73" s="80">
        <f>+agt!I73</f>
        <v>103912350</v>
      </c>
      <c r="H73" s="79">
        <v>3750000</v>
      </c>
      <c r="I73" s="80">
        <f>+G73+H73</f>
        <v>107662350</v>
      </c>
      <c r="J73" s="143">
        <f>+I73/F73</f>
        <v>0.62828022110125792</v>
      </c>
      <c r="K73" s="80">
        <f>+agt!M73</f>
        <v>103009950</v>
      </c>
      <c r="L73" s="80">
        <v>4438000</v>
      </c>
      <c r="M73" s="80">
        <f>+K73+L73</f>
        <v>107447950</v>
      </c>
      <c r="N73" s="171">
        <f>+M73/F73</f>
        <v>0.62702905688828925</v>
      </c>
      <c r="O73" s="15">
        <f>+F73-M73</f>
        <v>63912450</v>
      </c>
      <c r="P73" s="77"/>
      <c r="Q73" s="6" t="str">
        <f t="shared" ref="Q73" si="36">IF(M73&lt;=I73,"OKE","Salah")</f>
        <v>OKE</v>
      </c>
      <c r="R73" s="6"/>
    </row>
    <row r="74" spans="1:18" ht="12.75" customHeight="1" x14ac:dyDescent="0.2">
      <c r="A74" s="74"/>
      <c r="B74" s="75"/>
      <c r="C74" s="181"/>
      <c r="D74" s="13"/>
      <c r="E74" s="15"/>
      <c r="F74" s="15"/>
      <c r="G74" s="80"/>
      <c r="H74" s="79"/>
      <c r="I74" s="80"/>
      <c r="J74" s="143"/>
      <c r="K74" s="76"/>
      <c r="L74" s="80"/>
      <c r="M74" s="76"/>
      <c r="N74" s="86"/>
      <c r="O74" s="15"/>
      <c r="P74" s="77"/>
      <c r="Q74" s="6"/>
      <c r="R74" s="6"/>
    </row>
    <row r="75" spans="1:18" ht="27.75" customHeight="1" x14ac:dyDescent="0.2">
      <c r="A75" s="74">
        <v>3</v>
      </c>
      <c r="B75" s="228" t="s">
        <v>252</v>
      </c>
      <c r="C75" s="203" t="s">
        <v>251</v>
      </c>
      <c r="D75" s="13">
        <v>5490874600</v>
      </c>
      <c r="E75" s="15"/>
      <c r="F75" s="14">
        <f>+D75+E75</f>
        <v>5490874600</v>
      </c>
      <c r="G75" s="315">
        <f>+agt!I75</f>
        <v>3796649394</v>
      </c>
      <c r="H75" s="79">
        <v>0</v>
      </c>
      <c r="I75" s="80">
        <f>+G75+H75</f>
        <v>3796649394</v>
      </c>
      <c r="J75" s="143">
        <f>+I75/F75</f>
        <v>0.69144711372574419</v>
      </c>
      <c r="K75" s="315">
        <f>+agt!M75</f>
        <v>3795743250</v>
      </c>
      <c r="L75" s="80">
        <v>360000</v>
      </c>
      <c r="M75" s="80">
        <f>+K75+L75</f>
        <v>3796103250</v>
      </c>
      <c r="N75" s="171">
        <f>+M75/F75</f>
        <v>0.69134764978970742</v>
      </c>
      <c r="O75" s="15">
        <f>+F75-M75</f>
        <v>1694771350</v>
      </c>
      <c r="P75" s="77"/>
      <c r="Q75" s="6" t="str">
        <f t="shared" ref="Q75" si="37">IF(M75&lt;=I75,"OKE","Salah")</f>
        <v>OKE</v>
      </c>
      <c r="R75" s="6"/>
    </row>
    <row r="76" spans="1:18" ht="16.5" customHeight="1" x14ac:dyDescent="0.2">
      <c r="A76" s="139"/>
      <c r="B76" s="139"/>
      <c r="C76" s="140"/>
      <c r="D76" s="142"/>
      <c r="E76" s="142"/>
      <c r="F76" s="142"/>
      <c r="G76" s="188"/>
      <c r="H76" s="246"/>
      <c r="I76" s="188"/>
      <c r="J76" s="247"/>
      <c r="K76" s="188"/>
      <c r="L76" s="245"/>
      <c r="M76" s="245"/>
      <c r="N76" s="247"/>
      <c r="O76" s="141"/>
      <c r="P76" s="77"/>
      <c r="Q76" s="6"/>
      <c r="R76" s="6"/>
    </row>
    <row r="77" spans="1:18" ht="14.1" customHeight="1" x14ac:dyDescent="0.2">
      <c r="A77" s="388"/>
      <c r="B77" s="388"/>
      <c r="C77" s="463" t="s">
        <v>134</v>
      </c>
      <c r="D77" s="364">
        <f>SUM(D71:D75)</f>
        <v>6035935000</v>
      </c>
      <c r="E77" s="364">
        <f t="shared" ref="E77" si="38">SUM(E71:E75)</f>
        <v>0</v>
      </c>
      <c r="F77" s="364">
        <f>+D77+E77</f>
        <v>6035935000</v>
      </c>
      <c r="G77" s="455">
        <f>SUM(G71:G75)</f>
        <v>3941878750</v>
      </c>
      <c r="H77" s="364">
        <f>SUM(H71:H75)</f>
        <v>57854000</v>
      </c>
      <c r="I77" s="364">
        <f>+G77+H77</f>
        <v>3999732750</v>
      </c>
      <c r="J77" s="368">
        <f>+I77/F77</f>
        <v>0.66265338344432134</v>
      </c>
      <c r="K77" s="455">
        <f>SUM(K71:K75)</f>
        <v>3932817906</v>
      </c>
      <c r="L77" s="364">
        <f>SUM(L71:L75)</f>
        <v>62061800</v>
      </c>
      <c r="M77" s="364">
        <f>+K77+L77</f>
        <v>3994879706</v>
      </c>
      <c r="N77" s="366">
        <f>+M77/F77</f>
        <v>0.66184935821873492</v>
      </c>
      <c r="O77" s="364">
        <f>+F77-M77</f>
        <v>2041055294</v>
      </c>
      <c r="P77" s="77"/>
      <c r="Q77" s="6" t="str">
        <f>IF(M77&lt;=I77,"OKE","Salah")</f>
        <v>OKE</v>
      </c>
      <c r="R77" s="6"/>
    </row>
    <row r="78" spans="1:18" ht="14.1" customHeight="1" x14ac:dyDescent="0.2">
      <c r="A78" s="389"/>
      <c r="B78" s="389"/>
      <c r="C78" s="456"/>
      <c r="D78" s="396"/>
      <c r="E78" s="396"/>
      <c r="F78" s="396"/>
      <c r="G78" s="456"/>
      <c r="H78" s="396"/>
      <c r="I78" s="396"/>
      <c r="J78" s="369"/>
      <c r="K78" s="456"/>
      <c r="L78" s="396"/>
      <c r="M78" s="365"/>
      <c r="N78" s="367"/>
      <c r="O78" s="396"/>
      <c r="P78" s="77"/>
      <c r="Q78" s="6" t="str">
        <f>IF(M78&lt;=I78,"OKE","Salah")</f>
        <v>OKE</v>
      </c>
      <c r="R78" s="6"/>
    </row>
    <row r="79" spans="1:18" ht="14.1" customHeight="1" x14ac:dyDescent="0.2">
      <c r="A79" s="87"/>
      <c r="B79" s="241"/>
      <c r="C79" s="241"/>
      <c r="D79" s="4"/>
      <c r="E79" s="4"/>
      <c r="F79" s="4"/>
      <c r="G79" s="241"/>
      <c r="H79" s="243"/>
      <c r="I79" s="241"/>
      <c r="J79" s="248"/>
      <c r="K79" s="241"/>
      <c r="L79" s="241"/>
      <c r="M79" s="241"/>
      <c r="N79" s="248"/>
      <c r="O79" s="241"/>
      <c r="P79" s="77"/>
    </row>
    <row r="80" spans="1:18" ht="14.1" customHeight="1" x14ac:dyDescent="0.2">
      <c r="A80" s="74"/>
      <c r="B80" s="76"/>
      <c r="C80" s="244" t="s">
        <v>355</v>
      </c>
      <c r="D80" s="8"/>
      <c r="E80" s="8"/>
      <c r="F80" s="8"/>
      <c r="G80" s="76"/>
      <c r="H80" s="82"/>
      <c r="I80" s="76"/>
      <c r="J80" s="86"/>
      <c r="K80" s="76"/>
      <c r="L80" s="76"/>
      <c r="M80" s="76"/>
      <c r="N80" s="86"/>
      <c r="O80" s="76"/>
      <c r="P80" s="77"/>
      <c r="Q80" s="6"/>
      <c r="R80" s="6"/>
    </row>
    <row r="81" spans="1:19" ht="14.1" customHeight="1" x14ac:dyDescent="0.2">
      <c r="A81" s="74"/>
      <c r="B81" s="76"/>
      <c r="C81" s="76"/>
      <c r="D81" s="8"/>
      <c r="E81" s="8"/>
      <c r="F81" s="8"/>
      <c r="G81" s="76"/>
      <c r="H81" s="82"/>
      <c r="I81" s="76"/>
      <c r="J81" s="86"/>
      <c r="K81" s="76"/>
      <c r="L81" s="76"/>
      <c r="M81" s="76"/>
      <c r="N81" s="86"/>
      <c r="O81" s="76"/>
      <c r="P81" s="77"/>
      <c r="Q81" s="6"/>
      <c r="R81" s="6"/>
    </row>
    <row r="82" spans="1:19" s="77" customFormat="1" ht="14.1" customHeight="1" x14ac:dyDescent="0.2">
      <c r="A82" s="7"/>
      <c r="B82" s="215" t="s">
        <v>158</v>
      </c>
      <c r="C82" s="356" t="s">
        <v>245</v>
      </c>
      <c r="D82" s="10">
        <f>+D83+D93</f>
        <v>2244824800</v>
      </c>
      <c r="E82" s="10">
        <f t="shared" ref="E82" si="39">+E98</f>
        <v>-36639150</v>
      </c>
      <c r="F82" s="10">
        <f>+D82+E82</f>
        <v>2208185650</v>
      </c>
      <c r="G82" s="312">
        <f t="shared" ref="G82:H82" si="40">+G83+G93</f>
        <v>1550950500</v>
      </c>
      <c r="H82" s="10">
        <f t="shared" si="40"/>
        <v>72380000</v>
      </c>
      <c r="I82" s="10">
        <f>+G82+H82</f>
        <v>1623330500</v>
      </c>
      <c r="J82" s="168">
        <f>+I82/F82</f>
        <v>0.73514221958647363</v>
      </c>
      <c r="K82" s="312">
        <f t="shared" ref="K82:L82" si="41">+K83+K93</f>
        <v>1548934349</v>
      </c>
      <c r="L82" s="10">
        <f t="shared" si="41"/>
        <v>22380000</v>
      </c>
      <c r="M82" s="10">
        <f>+K82+L82</f>
        <v>1571314349</v>
      </c>
      <c r="N82" s="169">
        <f>+M82/F82</f>
        <v>0.71158616079223225</v>
      </c>
      <c r="O82" s="10">
        <f>+F82-M82</f>
        <v>636871301</v>
      </c>
      <c r="Q82" s="6" t="str">
        <f>IF(M82&lt;=I82,"OKE","Salah")</f>
        <v>OKE</v>
      </c>
      <c r="R82" s="6"/>
      <c r="S82" s="68"/>
    </row>
    <row r="83" spans="1:19" s="77" customFormat="1" ht="21" customHeight="1" x14ac:dyDescent="0.2">
      <c r="A83" s="74"/>
      <c r="B83" s="214" t="s">
        <v>244</v>
      </c>
      <c r="C83" s="25" t="s">
        <v>243</v>
      </c>
      <c r="D83" s="10">
        <f>+D85+D87+D89</f>
        <v>1878882000</v>
      </c>
      <c r="E83" s="17"/>
      <c r="F83" s="10">
        <f>+D83+E83</f>
        <v>1878882000</v>
      </c>
      <c r="G83" s="312">
        <f>+G91</f>
        <v>1397109400</v>
      </c>
      <c r="H83" s="10">
        <f>+H91</f>
        <v>61380000</v>
      </c>
      <c r="I83" s="180">
        <f>+G83+H83</f>
        <v>1458489400</v>
      </c>
      <c r="J83" s="168">
        <f>+I83/F83</f>
        <v>0.77625385734708197</v>
      </c>
      <c r="K83" s="312">
        <f>+K91</f>
        <v>1395913249</v>
      </c>
      <c r="L83" s="10">
        <f>+L91</f>
        <v>22380000</v>
      </c>
      <c r="M83" s="180">
        <f>+K83+L83</f>
        <v>1418293249</v>
      </c>
      <c r="N83" s="169">
        <f>+M83/F83</f>
        <v>0.75486020356786643</v>
      </c>
      <c r="O83" s="10">
        <f>+O91+O96</f>
        <v>2515753301</v>
      </c>
      <c r="Q83" s="6" t="str">
        <f t="shared" ref="Q83:Q93" si="42">IF(M83&lt;=I83,"OKE","Salah")</f>
        <v>OKE</v>
      </c>
      <c r="R83" s="6"/>
      <c r="S83" s="68"/>
    </row>
    <row r="84" spans="1:19" s="77" customFormat="1" ht="17.25" customHeight="1" x14ac:dyDescent="0.2">
      <c r="A84" s="74"/>
      <c r="B84" s="214"/>
      <c r="C84" s="25"/>
      <c r="D84" s="10"/>
      <c r="E84" s="17"/>
      <c r="F84" s="15"/>
      <c r="G84" s="78"/>
      <c r="H84" s="79"/>
      <c r="I84" s="80"/>
      <c r="J84" s="168"/>
      <c r="K84" s="80"/>
      <c r="L84" s="76"/>
      <c r="M84" s="76"/>
      <c r="N84" s="169"/>
      <c r="O84" s="10"/>
      <c r="Q84" s="6"/>
      <c r="R84" s="6"/>
      <c r="S84" s="68"/>
    </row>
    <row r="85" spans="1:19" s="77" customFormat="1" ht="31.5" customHeight="1" x14ac:dyDescent="0.2">
      <c r="A85" s="92">
        <v>1</v>
      </c>
      <c r="B85" s="297" t="s">
        <v>157</v>
      </c>
      <c r="C85" s="298" t="s">
        <v>242</v>
      </c>
      <c r="D85" s="283">
        <v>274791900</v>
      </c>
      <c r="E85" s="283"/>
      <c r="F85" s="283">
        <f>+D85+E85</f>
        <v>274791900</v>
      </c>
      <c r="G85" s="80">
        <f>+agt!I85</f>
        <v>46500000</v>
      </c>
      <c r="H85" s="285">
        <f>6000000+10500000+5880000+2408700</f>
        <v>24788700</v>
      </c>
      <c r="I85" s="284">
        <f>G85+H85</f>
        <v>71288700</v>
      </c>
      <c r="J85" s="287">
        <f>+I85/F85</f>
        <v>0.25942795257065437</v>
      </c>
      <c r="K85" s="80">
        <f>+agt!M85</f>
        <v>46350000</v>
      </c>
      <c r="L85" s="284">
        <f>6000000+10500000+5880000</f>
        <v>22380000</v>
      </c>
      <c r="M85" s="284">
        <f>K85+L85</f>
        <v>68730000</v>
      </c>
      <c r="N85" s="288">
        <f>+M85/F85</f>
        <v>0.25011654273652173</v>
      </c>
      <c r="O85" s="286">
        <f>+F85-M85</f>
        <v>206061900</v>
      </c>
      <c r="P85" s="290"/>
      <c r="Q85" s="291" t="str">
        <f t="shared" si="42"/>
        <v>OKE</v>
      </c>
      <c r="R85" s="6"/>
      <c r="S85" s="68"/>
    </row>
    <row r="86" spans="1:19" s="26" customFormat="1" ht="14.1" customHeight="1" x14ac:dyDescent="0.25">
      <c r="A86" s="74"/>
      <c r="B86" s="29"/>
      <c r="C86" s="27"/>
      <c r="D86" s="13"/>
      <c r="E86" s="14"/>
      <c r="F86" s="13"/>
      <c r="G86" s="80"/>
      <c r="H86" s="79"/>
      <c r="I86" s="15"/>
      <c r="J86" s="143"/>
      <c r="K86" s="80"/>
      <c r="L86" s="80"/>
      <c r="M86" s="80"/>
      <c r="N86" s="171"/>
      <c r="O86" s="15"/>
      <c r="Q86" s="6"/>
      <c r="R86" s="6"/>
      <c r="S86" s="240"/>
    </row>
    <row r="87" spans="1:19" s="26" customFormat="1" ht="14.1" customHeight="1" x14ac:dyDescent="0.25">
      <c r="A87" s="74">
        <v>2</v>
      </c>
      <c r="B87" s="29"/>
      <c r="C87" s="27" t="s">
        <v>324</v>
      </c>
      <c r="D87" s="13">
        <v>650261400</v>
      </c>
      <c r="E87" s="14"/>
      <c r="F87" s="13">
        <f>+D87+E87</f>
        <v>650261400</v>
      </c>
      <c r="G87" s="80">
        <f>+agt!I87</f>
        <v>641821400</v>
      </c>
      <c r="H87" s="79">
        <v>0</v>
      </c>
      <c r="I87" s="284">
        <f>G87+H87</f>
        <v>641821400</v>
      </c>
      <c r="J87" s="143"/>
      <c r="K87" s="80">
        <f>+agt!M87</f>
        <v>641641300</v>
      </c>
      <c r="L87" s="80">
        <v>0</v>
      </c>
      <c r="M87" s="80">
        <f>+K87+L87</f>
        <v>641641300</v>
      </c>
      <c r="N87" s="171">
        <f>+M87/F87</f>
        <v>0.98674363878895477</v>
      </c>
      <c r="O87" s="286">
        <f>+F87-M87</f>
        <v>8620100</v>
      </c>
      <c r="Q87" s="291" t="str">
        <f t="shared" si="42"/>
        <v>OKE</v>
      </c>
      <c r="R87" s="6"/>
      <c r="S87" s="240"/>
    </row>
    <row r="88" spans="1:19" s="26" customFormat="1" ht="14.1" customHeight="1" x14ac:dyDescent="0.25">
      <c r="A88" s="74"/>
      <c r="B88" s="29"/>
      <c r="C88" s="27"/>
      <c r="D88" s="13"/>
      <c r="E88" s="14"/>
      <c r="F88" s="13"/>
      <c r="G88" s="80"/>
      <c r="H88" s="79"/>
      <c r="I88" s="15"/>
      <c r="J88" s="143"/>
      <c r="K88" s="80"/>
      <c r="L88" s="80"/>
      <c r="M88" s="80"/>
      <c r="N88" s="171"/>
      <c r="O88" s="15"/>
      <c r="Q88" s="6"/>
      <c r="R88" s="6"/>
      <c r="S88" s="240"/>
    </row>
    <row r="89" spans="1:19" s="26" customFormat="1" ht="14.1" customHeight="1" x14ac:dyDescent="0.25">
      <c r="A89" s="74">
        <v>3</v>
      </c>
      <c r="B89" s="29" t="s">
        <v>156</v>
      </c>
      <c r="C89" s="27" t="s">
        <v>296</v>
      </c>
      <c r="D89" s="13">
        <v>953828700</v>
      </c>
      <c r="E89" s="14"/>
      <c r="F89" s="13">
        <f>D89</f>
        <v>953828700</v>
      </c>
      <c r="G89" s="80">
        <f>+agt!I89</f>
        <v>708788000</v>
      </c>
      <c r="H89" s="79">
        <v>36591300</v>
      </c>
      <c r="I89" s="15">
        <f>+G89+H89</f>
        <v>745379300</v>
      </c>
      <c r="J89" s="143">
        <f>+I89/F89</f>
        <v>0.78146033978637885</v>
      </c>
      <c r="K89" s="80">
        <f>+agt!M89</f>
        <v>707921949</v>
      </c>
      <c r="L89" s="80">
        <v>0</v>
      </c>
      <c r="M89" s="80">
        <f>+K89+L89</f>
        <v>707921949</v>
      </c>
      <c r="N89" s="171">
        <f>+M89/F89</f>
        <v>0.7421898177314229</v>
      </c>
      <c r="O89" s="15">
        <f>+F89-M89</f>
        <v>245906751</v>
      </c>
      <c r="Q89" s="6" t="str">
        <f t="shared" si="42"/>
        <v>OKE</v>
      </c>
      <c r="R89" s="6"/>
      <c r="S89" s="240"/>
    </row>
    <row r="90" spans="1:19" s="26" customFormat="1" ht="14.1" customHeight="1" x14ac:dyDescent="0.25">
      <c r="A90" s="74"/>
      <c r="B90" s="29"/>
      <c r="C90" s="249"/>
      <c r="D90" s="13"/>
      <c r="E90" s="14"/>
      <c r="F90" s="13"/>
      <c r="G90" s="80"/>
      <c r="H90" s="79"/>
      <c r="I90" s="15"/>
      <c r="J90" s="143"/>
      <c r="K90" s="80"/>
      <c r="L90" s="80"/>
      <c r="M90" s="80"/>
      <c r="N90" s="171"/>
      <c r="O90" s="15"/>
      <c r="Q90" s="6"/>
      <c r="R90" s="6"/>
      <c r="S90" s="240"/>
    </row>
    <row r="91" spans="1:19" s="77" customFormat="1" ht="14.1" customHeight="1" x14ac:dyDescent="0.2">
      <c r="A91" s="139"/>
      <c r="B91" s="222"/>
      <c r="C91" s="140" t="s">
        <v>172</v>
      </c>
      <c r="D91" s="141">
        <f>SUM(D85:D90)</f>
        <v>1878882000</v>
      </c>
      <c r="E91" s="236"/>
      <c r="F91" s="141">
        <f>SUM(F85:F90)</f>
        <v>1878882000</v>
      </c>
      <c r="G91" s="313">
        <f t="shared" ref="G91:H91" si="43">SUM(G85:G90)</f>
        <v>1397109400</v>
      </c>
      <c r="H91" s="141">
        <f t="shared" si="43"/>
        <v>61380000</v>
      </c>
      <c r="I91" s="232">
        <f>+G91+H91</f>
        <v>1458489400</v>
      </c>
      <c r="J91" s="176">
        <f>+I91/F91</f>
        <v>0.77625385734708197</v>
      </c>
      <c r="K91" s="313">
        <f t="shared" ref="K91" si="44">SUM(K85:K90)</f>
        <v>1395913249</v>
      </c>
      <c r="L91" s="141">
        <f>SUM(L85:L90)</f>
        <v>22380000</v>
      </c>
      <c r="M91" s="232">
        <f>+K91+L91</f>
        <v>1418293249</v>
      </c>
      <c r="N91" s="173">
        <f>+M91/F91</f>
        <v>0.75486020356786643</v>
      </c>
      <c r="O91" s="141">
        <f>SUM(O85:O90)</f>
        <v>460588751</v>
      </c>
      <c r="Q91" s="6" t="str">
        <f t="shared" si="42"/>
        <v>OKE</v>
      </c>
      <c r="R91" s="6"/>
      <c r="S91" s="68"/>
    </row>
    <row r="92" spans="1:19" s="77" customFormat="1" ht="17.25" customHeight="1" x14ac:dyDescent="0.2">
      <c r="A92" s="74"/>
      <c r="B92" s="29"/>
      <c r="C92" s="25"/>
      <c r="D92" s="10"/>
      <c r="E92" s="296"/>
      <c r="F92" s="10"/>
      <c r="G92" s="194"/>
      <c r="H92" s="187"/>
      <c r="I92" s="180"/>
      <c r="J92" s="168"/>
      <c r="K92" s="180"/>
      <c r="L92" s="193"/>
      <c r="M92" s="193"/>
      <c r="N92" s="169"/>
      <c r="O92" s="10"/>
      <c r="Q92" s="6"/>
      <c r="R92" s="6"/>
      <c r="S92" s="68"/>
    </row>
    <row r="93" spans="1:19" s="77" customFormat="1" ht="13.5" customHeight="1" x14ac:dyDescent="0.2">
      <c r="A93" s="74"/>
      <c r="B93" s="214" t="s">
        <v>297</v>
      </c>
      <c r="C93" s="25" t="s">
        <v>310</v>
      </c>
      <c r="D93" s="10">
        <f>+D95</f>
        <v>365942800</v>
      </c>
      <c r="E93" s="296">
        <f>+E95</f>
        <v>-36639150</v>
      </c>
      <c r="F93" s="10">
        <f>+D93+E93</f>
        <v>329303650</v>
      </c>
      <c r="G93" s="10">
        <f t="shared" ref="G93:H93" si="45">+G95</f>
        <v>153841100</v>
      </c>
      <c r="H93" s="10">
        <f t="shared" si="45"/>
        <v>11000000</v>
      </c>
      <c r="I93" s="180">
        <f>+G93+H93</f>
        <v>164841100</v>
      </c>
      <c r="J93" s="168">
        <f>+I93/F93</f>
        <v>0.500574773465159</v>
      </c>
      <c r="K93" s="10">
        <f t="shared" ref="K93:L93" si="46">+K95</f>
        <v>153021100</v>
      </c>
      <c r="L93" s="10">
        <f t="shared" si="46"/>
        <v>0</v>
      </c>
      <c r="M93" s="180">
        <f>+K93+L93</f>
        <v>153021100</v>
      </c>
      <c r="N93" s="169">
        <f>+M93/F93</f>
        <v>0.46468085003005583</v>
      </c>
      <c r="O93" s="10">
        <f>+F93-M93</f>
        <v>176282550</v>
      </c>
      <c r="Q93" s="6" t="str">
        <f t="shared" si="42"/>
        <v>OKE</v>
      </c>
      <c r="R93" s="6"/>
      <c r="S93" s="68"/>
    </row>
    <row r="94" spans="1:19" s="77" customFormat="1" ht="14.1" customHeight="1" x14ac:dyDescent="0.2">
      <c r="A94" s="74"/>
      <c r="B94" s="29"/>
      <c r="C94" s="27"/>
      <c r="D94" s="13"/>
      <c r="E94" s="13"/>
      <c r="F94" s="13"/>
      <c r="G94" s="84"/>
      <c r="H94" s="79"/>
      <c r="I94" s="15"/>
      <c r="J94" s="143"/>
      <c r="K94" s="80"/>
      <c r="L94" s="80"/>
      <c r="M94" s="80"/>
      <c r="N94" s="171"/>
      <c r="O94" s="15"/>
      <c r="Q94" s="6"/>
      <c r="R94" s="6"/>
      <c r="S94" s="68"/>
    </row>
    <row r="95" spans="1:19" s="77" customFormat="1" ht="29.25" customHeight="1" x14ac:dyDescent="0.2">
      <c r="A95" s="74">
        <v>4</v>
      </c>
      <c r="B95" s="29" t="s">
        <v>298</v>
      </c>
      <c r="C95" s="249" t="s">
        <v>378</v>
      </c>
      <c r="D95" s="13">
        <v>365942800</v>
      </c>
      <c r="E95" s="14">
        <v>-36639150</v>
      </c>
      <c r="F95" s="13">
        <f>+D95+E95</f>
        <v>329303650</v>
      </c>
      <c r="G95" s="80">
        <f>+agt!I95</f>
        <v>153841100</v>
      </c>
      <c r="H95" s="79">
        <v>11000000</v>
      </c>
      <c r="I95" s="15">
        <f>+G95+H95</f>
        <v>164841100</v>
      </c>
      <c r="J95" s="143">
        <f>+I95/F95</f>
        <v>0.500574773465159</v>
      </c>
      <c r="K95" s="80">
        <f>+agt!M95</f>
        <v>153021100</v>
      </c>
      <c r="L95" s="80">
        <v>0</v>
      </c>
      <c r="M95" s="80">
        <f>+K95+L95</f>
        <v>153021100</v>
      </c>
      <c r="N95" s="171">
        <f>+M95/F95</f>
        <v>0.46468085003005583</v>
      </c>
      <c r="O95" s="15">
        <f>+F95-M95</f>
        <v>176282550</v>
      </c>
      <c r="P95" s="26"/>
      <c r="Q95" s="6" t="str">
        <f t="shared" ref="Q95" si="47">IF(M95&lt;=I95,"OKE","Salah")</f>
        <v>OKE</v>
      </c>
      <c r="R95" s="6"/>
      <c r="S95" s="68"/>
    </row>
    <row r="96" spans="1:19" s="77" customFormat="1" ht="18" customHeight="1" x14ac:dyDescent="0.2">
      <c r="A96" s="74"/>
      <c r="B96" s="29"/>
      <c r="C96" s="9" t="s">
        <v>172</v>
      </c>
      <c r="D96" s="10">
        <f>+D95</f>
        <v>365942800</v>
      </c>
      <c r="E96" s="296"/>
      <c r="F96" s="296">
        <f>+F98</f>
        <v>2208185650</v>
      </c>
      <c r="G96" s="10">
        <f t="shared" ref="G96:H96" si="48">+G95</f>
        <v>153841100</v>
      </c>
      <c r="H96" s="10">
        <f t="shared" si="48"/>
        <v>11000000</v>
      </c>
      <c r="I96" s="180">
        <f>+G96+H96</f>
        <v>164841100</v>
      </c>
      <c r="J96" s="168">
        <f>+I96/F96</f>
        <v>7.4650018670305185E-2</v>
      </c>
      <c r="K96" s="10">
        <f t="shared" ref="K96:L96" si="49">+K95</f>
        <v>153021100</v>
      </c>
      <c r="L96" s="10">
        <f t="shared" si="49"/>
        <v>0</v>
      </c>
      <c r="M96" s="180">
        <f>+K96+L96</f>
        <v>153021100</v>
      </c>
      <c r="N96" s="169">
        <f>+M96/F96</f>
        <v>6.9297207868369223E-2</v>
      </c>
      <c r="O96" s="10">
        <f>+F96-M96</f>
        <v>2055164550</v>
      </c>
      <c r="Q96" s="6"/>
      <c r="R96" s="6"/>
      <c r="S96" s="68"/>
    </row>
    <row r="97" spans="1:23" s="77" customFormat="1" ht="13.5" customHeight="1" x14ac:dyDescent="0.2">
      <c r="A97" s="81"/>
      <c r="B97" s="94"/>
      <c r="C97" s="140"/>
      <c r="D97" s="141"/>
      <c r="E97" s="141"/>
      <c r="F97" s="141"/>
      <c r="G97" s="141"/>
      <c r="H97" s="141"/>
      <c r="I97" s="141"/>
      <c r="J97" s="176"/>
      <c r="K97" s="141"/>
      <c r="L97" s="141"/>
      <c r="M97" s="141"/>
      <c r="N97" s="173"/>
      <c r="O97" s="141"/>
      <c r="Q97" s="6"/>
      <c r="R97" s="6"/>
      <c r="S97" s="68"/>
    </row>
    <row r="98" spans="1:23" ht="12.95" customHeight="1" x14ac:dyDescent="0.2">
      <c r="A98" s="388"/>
      <c r="B98" s="388"/>
      <c r="C98" s="395" t="s">
        <v>362</v>
      </c>
      <c r="D98" s="364">
        <f>+D83+D93</f>
        <v>2244824800</v>
      </c>
      <c r="E98" s="364">
        <f t="shared" ref="E98:I98" si="50">+E83+E93</f>
        <v>-36639150</v>
      </c>
      <c r="F98" s="364">
        <f>+D98+E98</f>
        <v>2208185650</v>
      </c>
      <c r="G98" s="455">
        <f t="shared" si="50"/>
        <v>1550950500</v>
      </c>
      <c r="H98" s="364">
        <f t="shared" si="50"/>
        <v>72380000</v>
      </c>
      <c r="I98" s="364">
        <f t="shared" si="50"/>
        <v>1623330500</v>
      </c>
      <c r="J98" s="398">
        <f>+I98/F98</f>
        <v>0.73514221958647363</v>
      </c>
      <c r="K98" s="455">
        <f t="shared" ref="K98:L98" si="51">+K83+K93</f>
        <v>1548934349</v>
      </c>
      <c r="L98" s="364">
        <f t="shared" si="51"/>
        <v>22380000</v>
      </c>
      <c r="M98" s="364">
        <f>+K98+L98</f>
        <v>1571314349</v>
      </c>
      <c r="N98" s="366">
        <f>+M98/F98</f>
        <v>0.71158616079223225</v>
      </c>
      <c r="O98" s="364">
        <f>+F98-M98</f>
        <v>636871301</v>
      </c>
      <c r="P98" s="77"/>
      <c r="Q98" s="6" t="str">
        <f t="shared" ref="Q98:Q101" si="52">IF(M98&lt;=I98,"OKE","Salah")</f>
        <v>OKE</v>
      </c>
      <c r="R98" s="6"/>
    </row>
    <row r="99" spans="1:23" ht="15.75" customHeight="1" x14ac:dyDescent="0.2">
      <c r="A99" s="389"/>
      <c r="B99" s="389"/>
      <c r="C99" s="396"/>
      <c r="D99" s="396"/>
      <c r="E99" s="396"/>
      <c r="F99" s="396"/>
      <c r="G99" s="456"/>
      <c r="H99" s="396"/>
      <c r="I99" s="396"/>
      <c r="J99" s="399"/>
      <c r="K99" s="456"/>
      <c r="L99" s="396"/>
      <c r="M99" s="396"/>
      <c r="N99" s="367"/>
      <c r="O99" s="396"/>
      <c r="P99" s="77"/>
      <c r="Q99" s="6" t="str">
        <f t="shared" si="52"/>
        <v>OKE</v>
      </c>
      <c r="R99" s="6"/>
    </row>
    <row r="100" spans="1:23" ht="12.75" customHeight="1" x14ac:dyDescent="0.2">
      <c r="A100" s="92"/>
      <c r="B100" s="92"/>
      <c r="C100" s="54"/>
      <c r="D100" s="54"/>
      <c r="E100" s="54"/>
      <c r="F100" s="54"/>
      <c r="G100" s="54"/>
      <c r="H100" s="54"/>
      <c r="I100" s="54"/>
      <c r="J100" s="147"/>
      <c r="K100" s="54"/>
      <c r="L100" s="54"/>
      <c r="M100" s="54"/>
      <c r="N100" s="170"/>
      <c r="O100" s="54"/>
      <c r="P100" s="77"/>
      <c r="Q100" s="6"/>
      <c r="R100" s="6"/>
    </row>
    <row r="101" spans="1:23" ht="17.100000000000001" customHeight="1" x14ac:dyDescent="0.2">
      <c r="A101" s="74" t="s">
        <v>112</v>
      </c>
      <c r="B101" s="76"/>
      <c r="C101" s="244" t="s">
        <v>279</v>
      </c>
      <c r="D101" s="8"/>
      <c r="E101" s="8"/>
      <c r="F101" s="8"/>
      <c r="G101" s="76"/>
      <c r="H101" s="82"/>
      <c r="I101" s="76"/>
      <c r="J101" s="86"/>
      <c r="K101" s="76"/>
      <c r="L101" s="76"/>
      <c r="M101" s="76"/>
      <c r="N101" s="86"/>
      <c r="O101" s="76"/>
      <c r="P101" s="77"/>
      <c r="Q101" s="6" t="str">
        <f t="shared" si="52"/>
        <v>OKE</v>
      </c>
      <c r="R101" s="6"/>
    </row>
    <row r="102" spans="1:23" ht="14.1" customHeight="1" x14ac:dyDescent="0.2">
      <c r="A102" s="74"/>
      <c r="B102" s="76"/>
      <c r="C102" s="244"/>
      <c r="D102" s="8"/>
      <c r="E102" s="8"/>
      <c r="F102" s="8"/>
      <c r="G102" s="76"/>
      <c r="H102" s="82"/>
      <c r="I102" s="76"/>
      <c r="J102" s="86"/>
      <c r="K102" s="76"/>
      <c r="L102" s="76"/>
      <c r="M102" s="76"/>
      <c r="N102" s="86"/>
      <c r="O102" s="76"/>
      <c r="P102" s="77"/>
      <c r="Q102" s="6"/>
      <c r="R102" s="6"/>
    </row>
    <row r="103" spans="1:23" ht="14.1" customHeight="1" x14ac:dyDescent="0.2">
      <c r="A103" s="7"/>
      <c r="B103" s="215" t="s">
        <v>158</v>
      </c>
      <c r="C103" s="356" t="s">
        <v>245</v>
      </c>
      <c r="D103" s="10">
        <f>+D113</f>
        <v>2422510300</v>
      </c>
      <c r="E103" s="10">
        <f t="shared" ref="E103" si="53">+E113</f>
        <v>0</v>
      </c>
      <c r="F103" s="10">
        <f>+D103+E103</f>
        <v>2422510300</v>
      </c>
      <c r="G103" s="10">
        <f t="shared" ref="G103:H103" si="54">+G113</f>
        <v>359940995</v>
      </c>
      <c r="H103" s="10">
        <f t="shared" si="54"/>
        <v>652004300</v>
      </c>
      <c r="I103" s="10">
        <f>+G103+H103</f>
        <v>1011945295</v>
      </c>
      <c r="J103" s="168">
        <f>+I103/F103</f>
        <v>0.41772589986511099</v>
      </c>
      <c r="K103" s="10">
        <f t="shared" ref="K103:L103" si="55">+K113</f>
        <v>338192315</v>
      </c>
      <c r="L103" s="10">
        <f t="shared" si="55"/>
        <v>672174300</v>
      </c>
      <c r="M103" s="10">
        <f>+K103+L103</f>
        <v>1010366615</v>
      </c>
      <c r="N103" s="169">
        <f>+M103/D103</f>
        <v>0.41707422874528127</v>
      </c>
      <c r="O103" s="10">
        <f>+F103-M103</f>
        <v>1412143685</v>
      </c>
      <c r="P103" s="77"/>
      <c r="Q103" s="6" t="str">
        <f t="shared" ref="Q103:Q105" si="56">IF(M103&lt;=I103,"OKE","Salah")</f>
        <v>OKE</v>
      </c>
      <c r="R103" s="6"/>
    </row>
    <row r="104" spans="1:23" ht="14.1" customHeight="1" x14ac:dyDescent="0.2">
      <c r="A104" s="74"/>
      <c r="B104" s="74"/>
      <c r="C104" s="9"/>
      <c r="D104" s="15"/>
      <c r="E104" s="15"/>
      <c r="F104" s="15"/>
      <c r="G104" s="80"/>
      <c r="H104" s="79"/>
      <c r="I104" s="80"/>
      <c r="J104" s="86"/>
      <c r="K104" s="80"/>
      <c r="L104" s="76"/>
      <c r="M104" s="76"/>
      <c r="N104" s="86"/>
      <c r="O104" s="10"/>
      <c r="P104" s="77"/>
      <c r="Q104" s="6"/>
      <c r="R104" s="6"/>
    </row>
    <row r="105" spans="1:23" ht="14.1" customHeight="1" x14ac:dyDescent="0.2">
      <c r="A105" s="74"/>
      <c r="B105" s="75" t="s">
        <v>253</v>
      </c>
      <c r="C105" s="25" t="s">
        <v>254</v>
      </c>
      <c r="D105" s="13">
        <f>+D107+D109+D111</f>
        <v>2422510300</v>
      </c>
      <c r="E105" s="14"/>
      <c r="F105" s="13">
        <f>+D105+E105</f>
        <v>2422510300</v>
      </c>
      <c r="G105" s="80">
        <f>+agt!I105</f>
        <v>208767903</v>
      </c>
      <c r="H105" s="79">
        <v>0</v>
      </c>
      <c r="I105" s="15">
        <f>+G105+H105</f>
        <v>208767903</v>
      </c>
      <c r="J105" s="143">
        <f>+I105/F105</f>
        <v>8.6178334515234059E-2</v>
      </c>
      <c r="K105" s="80">
        <f>+agt!M105</f>
        <v>207584673</v>
      </c>
      <c r="L105" s="80">
        <v>0</v>
      </c>
      <c r="M105" s="80">
        <f>+K105+L105</f>
        <v>207584673</v>
      </c>
      <c r="N105" s="171">
        <f>+M105/F105</f>
        <v>8.5689903155416927E-2</v>
      </c>
      <c r="O105" s="15">
        <f>+F105-M105</f>
        <v>2214925627</v>
      </c>
      <c r="P105" s="77"/>
      <c r="Q105" s="6" t="str">
        <f t="shared" si="56"/>
        <v>OKE</v>
      </c>
      <c r="R105" s="6"/>
      <c r="T105" s="77"/>
      <c r="U105" s="77"/>
      <c r="V105" s="77"/>
    </row>
    <row r="106" spans="1:23" ht="18.75" customHeight="1" x14ac:dyDescent="0.2">
      <c r="A106" s="74"/>
      <c r="B106" s="75"/>
      <c r="C106" s="27"/>
      <c r="D106" s="13"/>
      <c r="E106" s="14"/>
      <c r="F106" s="13"/>
      <c r="G106" s="78"/>
      <c r="H106" s="79"/>
      <c r="I106" s="15"/>
      <c r="J106" s="143"/>
      <c r="K106" s="78"/>
      <c r="L106" s="80">
        <v>0</v>
      </c>
      <c r="M106" s="80"/>
      <c r="N106" s="171"/>
      <c r="O106" s="15"/>
      <c r="P106" s="77"/>
      <c r="Q106" s="6"/>
      <c r="R106" s="6"/>
      <c r="T106" s="77"/>
      <c r="U106" s="77"/>
      <c r="V106" s="77"/>
    </row>
    <row r="107" spans="1:23" ht="14.1" customHeight="1" x14ac:dyDescent="0.2">
      <c r="A107" s="74">
        <v>1</v>
      </c>
      <c r="B107" s="75" t="s">
        <v>255</v>
      </c>
      <c r="C107" s="27" t="s">
        <v>254</v>
      </c>
      <c r="D107" s="13">
        <v>2263739200</v>
      </c>
      <c r="E107" s="14"/>
      <c r="F107" s="13">
        <f>+D107+E107</f>
        <v>2263739200</v>
      </c>
      <c r="G107" s="80">
        <f>+agt!I107</f>
        <v>263007265</v>
      </c>
      <c r="H107" s="79">
        <f>29920000+612940000</f>
        <v>642860000</v>
      </c>
      <c r="I107" s="15">
        <f>+G107+H107</f>
        <v>905867265</v>
      </c>
      <c r="J107" s="143">
        <f>+I107/F107</f>
        <v>0.40016414655893223</v>
      </c>
      <c r="K107" s="80">
        <f>+agt!M107</f>
        <v>263007265</v>
      </c>
      <c r="L107" s="79">
        <f>29920000+612940000</f>
        <v>642860000</v>
      </c>
      <c r="M107" s="80">
        <f>+K107+L107</f>
        <v>905867265</v>
      </c>
      <c r="N107" s="171">
        <f>+M107/F107</f>
        <v>0.40016414655893223</v>
      </c>
      <c r="O107" s="15">
        <f>+F107-M107</f>
        <v>1357871935</v>
      </c>
      <c r="P107" s="77"/>
      <c r="Q107" s="6" t="str">
        <f t="shared" ref="Q107" si="57">IF(M107&lt;=I107,"OKE","Salah")</f>
        <v>OKE</v>
      </c>
      <c r="R107" s="6"/>
      <c r="T107" s="77"/>
      <c r="U107" s="77"/>
      <c r="V107" s="77"/>
    </row>
    <row r="108" spans="1:23" ht="18" customHeight="1" x14ac:dyDescent="0.2">
      <c r="A108" s="74"/>
      <c r="B108" s="75"/>
      <c r="C108" s="27"/>
      <c r="D108" s="13"/>
      <c r="E108" s="14"/>
      <c r="F108" s="13"/>
      <c r="G108" s="78"/>
      <c r="H108" s="79"/>
      <c r="I108" s="15"/>
      <c r="J108" s="143"/>
      <c r="K108" s="78"/>
      <c r="L108" s="80"/>
      <c r="M108" s="80"/>
      <c r="N108" s="171"/>
      <c r="O108" s="15"/>
      <c r="P108" s="77"/>
      <c r="Q108" s="6"/>
      <c r="R108" s="6"/>
      <c r="T108" s="77"/>
      <c r="U108" s="77"/>
      <c r="V108" s="77"/>
    </row>
    <row r="109" spans="1:23" ht="14.1" customHeight="1" x14ac:dyDescent="0.2">
      <c r="A109" s="74">
        <v>2</v>
      </c>
      <c r="B109" s="75" t="s">
        <v>256</v>
      </c>
      <c r="C109" s="27" t="s">
        <v>258</v>
      </c>
      <c r="D109" s="13">
        <v>81567100</v>
      </c>
      <c r="E109" s="14"/>
      <c r="F109" s="13">
        <f>+D109+E109</f>
        <v>81567100</v>
      </c>
      <c r="G109" s="80">
        <f>+agt!I109</f>
        <v>56244400</v>
      </c>
      <c r="H109" s="79">
        <v>0</v>
      </c>
      <c r="I109" s="15">
        <f>+G109+H109</f>
        <v>56244400</v>
      </c>
      <c r="J109" s="143">
        <f>+I109/F109</f>
        <v>0.68954762398074709</v>
      </c>
      <c r="K109" s="80">
        <f>+agt!M109</f>
        <v>37112800</v>
      </c>
      <c r="L109" s="80">
        <v>18296800</v>
      </c>
      <c r="M109" s="80">
        <f>+K109+L109</f>
        <v>55409600</v>
      </c>
      <c r="N109" s="171">
        <f>+M109/F109</f>
        <v>0.67931310540646905</v>
      </c>
      <c r="O109" s="15">
        <f>+F109-M109</f>
        <v>26157500</v>
      </c>
      <c r="P109" s="77"/>
      <c r="Q109" s="6" t="str">
        <f t="shared" ref="Q109" si="58">IF(M109&lt;=I109,"OKE","Salah")</f>
        <v>OKE</v>
      </c>
      <c r="R109" s="6"/>
      <c r="T109" s="77"/>
      <c r="U109" s="77"/>
      <c r="V109" s="77"/>
    </row>
    <row r="110" spans="1:23" ht="19.5" customHeight="1" x14ac:dyDescent="0.2">
      <c r="A110" s="74"/>
      <c r="B110" s="75"/>
      <c r="C110" s="27"/>
      <c r="D110" s="13"/>
      <c r="E110" s="14"/>
      <c r="F110" s="13"/>
      <c r="G110" s="78"/>
      <c r="H110" s="79"/>
      <c r="I110" s="15"/>
      <c r="J110" s="143"/>
      <c r="K110" s="78"/>
      <c r="L110" s="80"/>
      <c r="M110" s="80"/>
      <c r="N110" s="171"/>
      <c r="O110" s="15"/>
      <c r="P110" s="77"/>
      <c r="Q110" s="6"/>
      <c r="R110" s="6"/>
      <c r="T110" s="77"/>
      <c r="U110" s="77"/>
      <c r="V110" s="77"/>
    </row>
    <row r="111" spans="1:23" ht="25.5" customHeight="1" x14ac:dyDescent="0.2">
      <c r="A111" s="74">
        <v>3</v>
      </c>
      <c r="B111" s="75" t="s">
        <v>257</v>
      </c>
      <c r="C111" s="219" t="s">
        <v>259</v>
      </c>
      <c r="D111" s="13">
        <v>77204000</v>
      </c>
      <c r="E111" s="14"/>
      <c r="F111" s="13">
        <f>+D111+E111</f>
        <v>77204000</v>
      </c>
      <c r="G111" s="80">
        <f>+agt!I111</f>
        <v>40689330</v>
      </c>
      <c r="H111" s="79">
        <v>9144300</v>
      </c>
      <c r="I111" s="15">
        <f>+G111+H111</f>
        <v>49833630</v>
      </c>
      <c r="J111" s="143">
        <f>+I111/F111</f>
        <v>0.64547989741464173</v>
      </c>
      <c r="K111" s="80">
        <f>+agt!M111</f>
        <v>38072250</v>
      </c>
      <c r="L111" s="80">
        <v>11017500</v>
      </c>
      <c r="M111" s="80">
        <f>+K111+L111</f>
        <v>49089750</v>
      </c>
      <c r="N111" s="171">
        <f>+M111/F111</f>
        <v>0.63584464535516294</v>
      </c>
      <c r="O111" s="15">
        <f>+F111-M111</f>
        <v>28114250</v>
      </c>
      <c r="P111" s="77"/>
      <c r="Q111" s="6" t="str">
        <f t="shared" ref="Q111" si="59">IF(M111&lt;=I111,"OKE","Salah")</f>
        <v>OKE</v>
      </c>
      <c r="R111" s="6"/>
      <c r="T111" s="77"/>
      <c r="U111" s="77"/>
      <c r="V111" s="77"/>
    </row>
    <row r="112" spans="1:23" ht="14.1" customHeight="1" x14ac:dyDescent="0.2">
      <c r="A112" s="81"/>
      <c r="B112" s="94"/>
      <c r="C112" s="140"/>
      <c r="D112" s="141"/>
      <c r="E112" s="141"/>
      <c r="F112" s="141"/>
      <c r="G112" s="141"/>
      <c r="H112" s="141"/>
      <c r="I112" s="141"/>
      <c r="J112" s="176"/>
      <c r="K112" s="141"/>
      <c r="L112" s="141"/>
      <c r="M112" s="141"/>
      <c r="N112" s="173"/>
      <c r="O112" s="141"/>
      <c r="P112" s="77"/>
      <c r="Q112" s="6"/>
      <c r="R112" s="6"/>
      <c r="T112" s="77"/>
      <c r="U112" s="77"/>
      <c r="V112" s="77"/>
      <c r="W112" s="77"/>
    </row>
    <row r="113" spans="1:18" x14ac:dyDescent="0.2">
      <c r="A113" s="388"/>
      <c r="B113" s="388"/>
      <c r="C113" s="395" t="s">
        <v>280</v>
      </c>
      <c r="D113" s="364">
        <f>SUM(D107:D111)</f>
        <v>2422510300</v>
      </c>
      <c r="E113" s="364">
        <f>SUM(E107:E111)</f>
        <v>0</v>
      </c>
      <c r="F113" s="364">
        <f>+D113+E113</f>
        <v>2422510300</v>
      </c>
      <c r="G113" s="364">
        <f>SUM(G107:G111)</f>
        <v>359940995</v>
      </c>
      <c r="H113" s="364">
        <f>SUM(H107:H111)</f>
        <v>652004300</v>
      </c>
      <c r="I113" s="364">
        <f>+G113+H113</f>
        <v>1011945295</v>
      </c>
      <c r="J113" s="398">
        <f>+I113/F113</f>
        <v>0.41772589986511099</v>
      </c>
      <c r="K113" s="364">
        <f>SUM(K107:K111)</f>
        <v>338192315</v>
      </c>
      <c r="L113" s="364">
        <f>SUM(L107:L111)</f>
        <v>672174300</v>
      </c>
      <c r="M113" s="364">
        <f>+K113+L113</f>
        <v>1010366615</v>
      </c>
      <c r="N113" s="366">
        <f>+M113/F113</f>
        <v>0.41707422874528127</v>
      </c>
      <c r="O113" s="364">
        <f>+F113-M113</f>
        <v>1412143685</v>
      </c>
      <c r="P113" s="77"/>
      <c r="Q113" s="6" t="str">
        <f t="shared" ref="Q113:Q114" si="60">IF(M113&lt;=I113,"OKE","Salah")</f>
        <v>OKE</v>
      </c>
      <c r="R113" s="6"/>
    </row>
    <row r="114" spans="1:18" ht="18.75" customHeight="1" x14ac:dyDescent="0.2">
      <c r="A114" s="389"/>
      <c r="B114" s="389"/>
      <c r="C114" s="396"/>
      <c r="D114" s="396"/>
      <c r="E114" s="396"/>
      <c r="F114" s="452"/>
      <c r="G114" s="396"/>
      <c r="H114" s="396"/>
      <c r="I114" s="396"/>
      <c r="J114" s="399"/>
      <c r="K114" s="396"/>
      <c r="L114" s="396"/>
      <c r="M114" s="396"/>
      <c r="N114" s="367"/>
      <c r="O114" s="396"/>
      <c r="P114" s="77"/>
      <c r="Q114" s="6" t="str">
        <f t="shared" si="60"/>
        <v>OKE</v>
      </c>
      <c r="R114" s="6"/>
    </row>
    <row r="115" spans="1:18" ht="14.1" customHeight="1" x14ac:dyDescent="0.2">
      <c r="A115" s="292"/>
      <c r="B115" s="292"/>
      <c r="C115" s="293"/>
      <c r="D115" s="293"/>
      <c r="E115" s="293"/>
      <c r="F115" s="293"/>
      <c r="G115" s="293"/>
      <c r="H115" s="293"/>
      <c r="I115" s="293"/>
      <c r="J115" s="294"/>
      <c r="K115" s="293"/>
      <c r="L115" s="293"/>
      <c r="M115" s="293"/>
      <c r="N115" s="295"/>
      <c r="O115" s="293"/>
      <c r="P115" s="77"/>
      <c r="Q115" s="6"/>
      <c r="R115" s="6"/>
    </row>
    <row r="116" spans="1:18" ht="22.5" customHeight="1" x14ac:dyDescent="0.2">
      <c r="A116" s="74"/>
      <c r="B116" s="76"/>
      <c r="C116" s="336" t="s">
        <v>354</v>
      </c>
      <c r="D116" s="8"/>
      <c r="E116" s="8"/>
      <c r="F116" s="8"/>
      <c r="G116" s="76"/>
      <c r="H116" s="82"/>
      <c r="I116" s="76"/>
      <c r="J116" s="86"/>
      <c r="K116" s="76"/>
      <c r="L116" s="76"/>
      <c r="M116" s="76"/>
      <c r="N116" s="86"/>
      <c r="O116" s="76"/>
      <c r="P116" s="5"/>
      <c r="Q116" s="6" t="str">
        <f t="shared" ref="Q116" si="61">IF(M116&lt;=I116,"OKE","Salah")</f>
        <v>OKE</v>
      </c>
      <c r="R116" s="6"/>
    </row>
    <row r="117" spans="1:18" ht="14.1" customHeight="1" x14ac:dyDescent="0.2">
      <c r="A117" s="74"/>
      <c r="B117" s="76"/>
      <c r="C117" s="244"/>
      <c r="D117" s="8"/>
      <c r="E117" s="8"/>
      <c r="F117" s="8"/>
      <c r="G117" s="76"/>
      <c r="H117" s="82"/>
      <c r="I117" s="76"/>
      <c r="J117" s="86"/>
      <c r="K117" s="76"/>
      <c r="L117" s="76"/>
      <c r="M117" s="76"/>
      <c r="N117" s="86"/>
      <c r="O117" s="76"/>
      <c r="P117" s="5"/>
      <c r="Q117" s="6"/>
      <c r="R117" s="6"/>
    </row>
    <row r="118" spans="1:18" ht="18.75" customHeight="1" x14ac:dyDescent="0.2">
      <c r="A118" s="7"/>
      <c r="B118" s="7" t="s">
        <v>305</v>
      </c>
      <c r="C118" s="250" t="s">
        <v>188</v>
      </c>
      <c r="D118" s="10">
        <f>+D126</f>
        <v>1117572900</v>
      </c>
      <c r="E118" s="10">
        <f t="shared" ref="E118" si="62">+E126</f>
        <v>0</v>
      </c>
      <c r="F118" s="10">
        <f>+D118+E118</f>
        <v>1117572900</v>
      </c>
      <c r="G118" s="10">
        <f t="shared" ref="G118:H118" si="63">+G126</f>
        <v>609710300</v>
      </c>
      <c r="H118" s="10">
        <f t="shared" si="63"/>
        <v>99062400</v>
      </c>
      <c r="I118" s="10">
        <f>+G118+H118</f>
        <v>708772700</v>
      </c>
      <c r="J118" s="168">
        <f>+I118/F118</f>
        <v>0.6342071286803751</v>
      </c>
      <c r="K118" s="10">
        <f t="shared" ref="K118:L118" si="64">+K126</f>
        <v>609416800</v>
      </c>
      <c r="L118" s="10">
        <f t="shared" si="64"/>
        <v>99264400</v>
      </c>
      <c r="M118" s="10">
        <f>+K118+L118</f>
        <v>708681200</v>
      </c>
      <c r="N118" s="169">
        <f>+M118/D118</f>
        <v>0.63412525482677684</v>
      </c>
      <c r="O118" s="10">
        <f>+F118-M118</f>
        <v>408891700</v>
      </c>
      <c r="P118" s="77"/>
      <c r="Q118" s="6" t="str">
        <f t="shared" ref="Q118:Q144" si="65">IF(M118&lt;=I118,"OKE","Salah")</f>
        <v>OKE</v>
      </c>
      <c r="R118" s="6"/>
    </row>
    <row r="119" spans="1:18" ht="14.1" customHeight="1" x14ac:dyDescent="0.2">
      <c r="A119" s="74"/>
      <c r="B119" s="74"/>
      <c r="C119" s="76"/>
      <c r="D119" s="15"/>
      <c r="E119" s="15"/>
      <c r="F119" s="13"/>
      <c r="G119" s="80"/>
      <c r="H119" s="79"/>
      <c r="I119" s="80"/>
      <c r="J119" s="86"/>
      <c r="K119" s="80"/>
      <c r="L119" s="80"/>
      <c r="M119" s="80"/>
      <c r="N119" s="86"/>
      <c r="O119" s="10"/>
      <c r="P119" s="77"/>
      <c r="Q119" s="6"/>
      <c r="R119" s="6"/>
    </row>
    <row r="120" spans="1:18" ht="14.1" customHeight="1" x14ac:dyDescent="0.2">
      <c r="A120" s="74">
        <v>1</v>
      </c>
      <c r="B120" s="28" t="s">
        <v>306</v>
      </c>
      <c r="C120" s="76" t="s">
        <v>189</v>
      </c>
      <c r="D120" s="13">
        <v>705893400</v>
      </c>
      <c r="E120" s="14"/>
      <c r="F120" s="13">
        <f>+D120+E120</f>
        <v>705893400</v>
      </c>
      <c r="G120" s="80">
        <f>+agt!I120</f>
        <v>426344800</v>
      </c>
      <c r="H120" s="79">
        <f>35700000+13933400+13754000+4000000</f>
        <v>67387400</v>
      </c>
      <c r="I120" s="80">
        <f t="shared" ref="I120" si="66">H120+G120</f>
        <v>493732200</v>
      </c>
      <c r="J120" s="143">
        <f>+I120/F120</f>
        <v>0.69944300371699186</v>
      </c>
      <c r="K120" s="80">
        <f>+agt!M120</f>
        <v>426344800</v>
      </c>
      <c r="L120" s="79">
        <f>35700000+13933400+13754000+4000000</f>
        <v>67387400</v>
      </c>
      <c r="M120" s="80">
        <f t="shared" ref="M120" si="67">K120+L120</f>
        <v>493732200</v>
      </c>
      <c r="N120" s="171">
        <f>+M120/D120</f>
        <v>0.69944300371699186</v>
      </c>
      <c r="O120" s="15">
        <f>+F120-M120</f>
        <v>212161200</v>
      </c>
      <c r="P120" s="77"/>
      <c r="Q120" s="6" t="str">
        <f t="shared" ref="Q120" si="68">IF(M120&lt;=I120,"OKE","Salah")</f>
        <v>OKE</v>
      </c>
      <c r="R120" s="6"/>
    </row>
    <row r="121" spans="1:18" ht="14.1" customHeight="1" x14ac:dyDescent="0.2">
      <c r="A121" s="74"/>
      <c r="B121" s="74"/>
      <c r="C121" s="83"/>
      <c r="D121" s="15"/>
      <c r="E121" s="17"/>
      <c r="F121" s="13"/>
      <c r="G121" s="78"/>
      <c r="H121" s="79"/>
      <c r="I121" s="80"/>
      <c r="J121" s="86"/>
      <c r="K121" s="78"/>
      <c r="L121" s="80"/>
      <c r="M121" s="80"/>
      <c r="N121" s="86"/>
      <c r="O121" s="10"/>
      <c r="P121" s="77"/>
      <c r="Q121" s="6"/>
      <c r="R121" s="6"/>
    </row>
    <row r="122" spans="1:18" ht="14.1" customHeight="1" x14ac:dyDescent="0.2">
      <c r="A122" s="74">
        <v>2</v>
      </c>
      <c r="B122" s="28" t="s">
        <v>307</v>
      </c>
      <c r="C122" s="76" t="s">
        <v>190</v>
      </c>
      <c r="D122" s="13">
        <v>153587000</v>
      </c>
      <c r="E122" s="14"/>
      <c r="F122" s="13">
        <f>+D122+E122</f>
        <v>153587000</v>
      </c>
      <c r="G122" s="80">
        <f>+agt!I122</f>
        <v>62326000</v>
      </c>
      <c r="H122" s="79">
        <v>6348000</v>
      </c>
      <c r="I122" s="15">
        <f>+G122+H122</f>
        <v>68674000</v>
      </c>
      <c r="J122" s="143">
        <f>+I122/F122</f>
        <v>0.44713419755578271</v>
      </c>
      <c r="K122" s="80">
        <f>+agt!M122</f>
        <v>62326000</v>
      </c>
      <c r="L122" s="80">
        <v>6348000</v>
      </c>
      <c r="M122" s="80">
        <f>+K122+L122</f>
        <v>68674000</v>
      </c>
      <c r="N122" s="171">
        <f>+M122/D122</f>
        <v>0.44713419755578271</v>
      </c>
      <c r="O122" s="15">
        <f>+F122-M122</f>
        <v>84913000</v>
      </c>
      <c r="P122" s="77"/>
      <c r="Q122" s="6" t="str">
        <f t="shared" ref="Q122" si="69">IF(M122&lt;=I122,"OKE","Salah")</f>
        <v>OKE</v>
      </c>
      <c r="R122" s="6"/>
    </row>
    <row r="123" spans="1:18" ht="14.1" customHeight="1" x14ac:dyDescent="0.2">
      <c r="A123" s="74"/>
      <c r="B123" s="74"/>
      <c r="C123" s="76"/>
      <c r="D123" s="15"/>
      <c r="E123" s="15"/>
      <c r="F123" s="15"/>
      <c r="G123" s="80"/>
      <c r="H123" s="79"/>
      <c r="I123" s="80"/>
      <c r="J123" s="86"/>
      <c r="K123" s="80"/>
      <c r="L123" s="80"/>
      <c r="M123" s="80"/>
      <c r="N123" s="86"/>
      <c r="O123" s="10"/>
      <c r="P123" s="77"/>
      <c r="Q123" s="6"/>
      <c r="R123" s="6"/>
    </row>
    <row r="124" spans="1:18" ht="14.1" customHeight="1" x14ac:dyDescent="0.2">
      <c r="A124" s="74">
        <v>3</v>
      </c>
      <c r="B124" s="28" t="s">
        <v>308</v>
      </c>
      <c r="C124" s="272" t="s">
        <v>191</v>
      </c>
      <c r="D124" s="13">
        <v>258092500</v>
      </c>
      <c r="E124" s="14"/>
      <c r="F124" s="14">
        <f>+D124+E124</f>
        <v>258092500</v>
      </c>
      <c r="G124" s="80">
        <f>+agt!I124</f>
        <v>121039500</v>
      </c>
      <c r="H124" s="79">
        <f>12775000+12552000</f>
        <v>25327000</v>
      </c>
      <c r="I124" s="15">
        <f>+G124+H124</f>
        <v>146366500</v>
      </c>
      <c r="J124" s="143">
        <f>+I124/F124</f>
        <v>0.56710869165124911</v>
      </c>
      <c r="K124" s="80">
        <f>+agt!M124</f>
        <v>120746000</v>
      </c>
      <c r="L124" s="80">
        <f>12775000+12754000</f>
        <v>25529000</v>
      </c>
      <c r="M124" s="80">
        <f>+K124+L124</f>
        <v>146275000</v>
      </c>
      <c r="N124" s="171">
        <f>+M124/D124</f>
        <v>0.56675416759495145</v>
      </c>
      <c r="O124" s="15">
        <f>+F124-M124</f>
        <v>111817500</v>
      </c>
      <c r="P124" s="77"/>
      <c r="Q124" s="6" t="str">
        <f t="shared" ref="Q124" si="70">IF(M124&lt;=I124,"OKE","Salah")</f>
        <v>OKE</v>
      </c>
      <c r="R124" s="6"/>
    </row>
    <row r="125" spans="1:18" ht="14.1" customHeight="1" x14ac:dyDescent="0.2">
      <c r="A125" s="74"/>
      <c r="B125" s="74"/>
      <c r="C125" s="9"/>
      <c r="D125" s="10"/>
      <c r="E125" s="10"/>
      <c r="F125" s="10"/>
      <c r="G125" s="80"/>
      <c r="H125" s="79"/>
      <c r="I125" s="80"/>
      <c r="J125" s="168"/>
      <c r="K125" s="80"/>
      <c r="L125" s="80"/>
      <c r="M125" s="80"/>
      <c r="N125" s="169"/>
      <c r="O125" s="10"/>
      <c r="P125" s="77"/>
      <c r="Q125" s="6"/>
      <c r="R125" s="6"/>
    </row>
    <row r="126" spans="1:18" ht="14.1" customHeight="1" x14ac:dyDescent="0.2">
      <c r="A126" s="388"/>
      <c r="B126" s="388"/>
      <c r="C126" s="463" t="s">
        <v>357</v>
      </c>
      <c r="D126" s="364">
        <f>SUM(D120:D124)</f>
        <v>1117572900</v>
      </c>
      <c r="E126" s="364">
        <f t="shared" ref="E126" si="71">SUM(E120:E124)</f>
        <v>0</v>
      </c>
      <c r="F126" s="364">
        <f>+D126+E126</f>
        <v>1117572900</v>
      </c>
      <c r="G126" s="364">
        <f>SUM(G120:G124)</f>
        <v>609710300</v>
      </c>
      <c r="H126" s="364">
        <f>SUM(H120:H124)</f>
        <v>99062400</v>
      </c>
      <c r="I126" s="364">
        <f>+G126+H126</f>
        <v>708772700</v>
      </c>
      <c r="J126" s="368">
        <f>+I126/F126</f>
        <v>0.6342071286803751</v>
      </c>
      <c r="K126" s="364">
        <f>SUM(K120:K124)</f>
        <v>609416800</v>
      </c>
      <c r="L126" s="364">
        <f>SUM(L120:L124)</f>
        <v>99264400</v>
      </c>
      <c r="M126" s="364">
        <f>+K126+L126</f>
        <v>708681200</v>
      </c>
      <c r="N126" s="366">
        <v>0</v>
      </c>
      <c r="O126" s="364">
        <f>+F126-M126</f>
        <v>408891700</v>
      </c>
      <c r="P126" s="77"/>
      <c r="Q126" s="6" t="str">
        <f t="shared" si="65"/>
        <v>OKE</v>
      </c>
      <c r="R126" s="6"/>
    </row>
    <row r="127" spans="1:18" ht="14.1" customHeight="1" x14ac:dyDescent="0.2">
      <c r="A127" s="389"/>
      <c r="B127" s="389"/>
      <c r="C127" s="456"/>
      <c r="D127" s="396"/>
      <c r="E127" s="396"/>
      <c r="F127" s="396"/>
      <c r="G127" s="396"/>
      <c r="H127" s="396"/>
      <c r="I127" s="396"/>
      <c r="J127" s="369"/>
      <c r="K127" s="396"/>
      <c r="L127" s="396"/>
      <c r="M127" s="396"/>
      <c r="N127" s="367"/>
      <c r="O127" s="396"/>
      <c r="P127" s="77"/>
      <c r="Q127" s="6" t="str">
        <f t="shared" si="65"/>
        <v>OKE</v>
      </c>
      <c r="R127" s="6"/>
    </row>
    <row r="128" spans="1:18" ht="17.100000000000001" customHeight="1" x14ac:dyDescent="0.2">
      <c r="A128" s="74"/>
      <c r="B128" s="76"/>
      <c r="C128" s="244"/>
      <c r="D128" s="8"/>
      <c r="E128" s="8"/>
      <c r="F128" s="8"/>
      <c r="G128" s="76"/>
      <c r="H128" s="82"/>
      <c r="I128" s="76"/>
      <c r="J128" s="86"/>
      <c r="K128" s="76"/>
      <c r="L128" s="76"/>
      <c r="M128" s="76"/>
      <c r="N128" s="248"/>
      <c r="O128" s="241"/>
      <c r="P128" s="77"/>
      <c r="Q128" s="6"/>
      <c r="R128" s="6"/>
    </row>
    <row r="129" spans="1:23" ht="17.100000000000001" customHeight="1" x14ac:dyDescent="0.2">
      <c r="A129" s="74"/>
      <c r="B129" s="76"/>
      <c r="C129" s="244" t="s">
        <v>136</v>
      </c>
      <c r="D129" s="8"/>
      <c r="E129" s="8"/>
      <c r="F129" s="8"/>
      <c r="G129" s="76"/>
      <c r="H129" s="82"/>
      <c r="I129" s="76"/>
      <c r="J129" s="86"/>
      <c r="K129" s="76"/>
      <c r="L129" s="76"/>
      <c r="M129" s="76"/>
      <c r="N129" s="86"/>
      <c r="O129" s="76"/>
      <c r="P129" s="77"/>
      <c r="Q129" s="6"/>
      <c r="R129" s="6"/>
    </row>
    <row r="130" spans="1:23" ht="15" customHeight="1" x14ac:dyDescent="0.2">
      <c r="A130" s="74"/>
      <c r="B130" s="74"/>
      <c r="C130" s="76"/>
      <c r="D130" s="15"/>
      <c r="E130" s="15"/>
      <c r="F130" s="15"/>
      <c r="G130" s="80"/>
      <c r="H130" s="79"/>
      <c r="I130" s="80"/>
      <c r="J130" s="168"/>
      <c r="K130" s="80"/>
      <c r="L130" s="76"/>
      <c r="M130" s="10"/>
      <c r="N130" s="169"/>
      <c r="O130" s="76"/>
      <c r="P130" s="77"/>
      <c r="Q130" s="6"/>
      <c r="R130" s="6"/>
    </row>
    <row r="131" spans="1:23" ht="27.75" customHeight="1" x14ac:dyDescent="0.2">
      <c r="A131" s="7"/>
      <c r="B131" s="217" t="s">
        <v>154</v>
      </c>
      <c r="C131" s="202" t="s">
        <v>153</v>
      </c>
      <c r="D131" s="10">
        <f>+D133+D140+D149+D155</f>
        <v>25693231593</v>
      </c>
      <c r="E131" s="10">
        <f>+E133+E140+E149+E155</f>
        <v>0</v>
      </c>
      <c r="F131" s="10">
        <f>+F133+F140+F149+F155</f>
        <v>25693231593</v>
      </c>
      <c r="G131" s="312">
        <f>+G133+G140+G149+G155</f>
        <v>15815018461</v>
      </c>
      <c r="H131" s="10">
        <f>+H133+H140+H149+H155</f>
        <v>1791029876</v>
      </c>
      <c r="I131" s="312">
        <f>+G131+H131</f>
        <v>17606048337</v>
      </c>
      <c r="J131" s="168">
        <f>+I131/F131</f>
        <v>0.68524071303652923</v>
      </c>
      <c r="K131" s="312">
        <f>+K133+K140+K149+K155</f>
        <v>15814935661</v>
      </c>
      <c r="L131" s="10">
        <f>+L133+L140+L149+L155</f>
        <v>1784770976</v>
      </c>
      <c r="M131" s="312">
        <f>+K131+L131</f>
        <v>17599706637</v>
      </c>
      <c r="N131" s="169">
        <f>+M131/F131</f>
        <v>0.68499388927763205</v>
      </c>
      <c r="O131" s="10">
        <f>+F131-M131</f>
        <v>8093524956</v>
      </c>
      <c r="P131" s="77"/>
      <c r="Q131" s="6" t="str">
        <f t="shared" si="65"/>
        <v>OKE</v>
      </c>
      <c r="R131" s="6"/>
    </row>
    <row r="132" spans="1:23" ht="12.75" customHeight="1" x14ac:dyDescent="0.2">
      <c r="A132" s="74"/>
      <c r="B132" s="74"/>
      <c r="C132" s="76"/>
      <c r="D132" s="15"/>
      <c r="E132" s="15"/>
      <c r="F132" s="15"/>
      <c r="G132" s="80"/>
      <c r="H132" s="79"/>
      <c r="I132" s="80"/>
      <c r="J132" s="86"/>
      <c r="K132" s="80"/>
      <c r="L132" s="76"/>
      <c r="M132" s="76"/>
      <c r="N132" s="86"/>
      <c r="O132" s="15"/>
      <c r="P132" s="77"/>
      <c r="Q132" s="6"/>
      <c r="R132" s="6"/>
    </row>
    <row r="133" spans="1:23" ht="26.25" customHeight="1" x14ac:dyDescent="0.2">
      <c r="A133" s="74"/>
      <c r="B133" s="214" t="s">
        <v>155</v>
      </c>
      <c r="C133" s="301" t="s">
        <v>299</v>
      </c>
      <c r="D133" s="178">
        <f>+D135+D137</f>
        <v>26024500</v>
      </c>
      <c r="E133" s="178">
        <f t="shared" ref="E133:H133" si="72">+E135+E137</f>
        <v>0</v>
      </c>
      <c r="F133" s="178">
        <f t="shared" si="72"/>
        <v>26024500</v>
      </c>
      <c r="G133" s="178">
        <f t="shared" si="72"/>
        <v>9330800</v>
      </c>
      <c r="H133" s="178">
        <f t="shared" si="72"/>
        <v>1398900</v>
      </c>
      <c r="I133" s="10">
        <f>+G133+H133</f>
        <v>10729700</v>
      </c>
      <c r="J133" s="168">
        <f>+I133/F133</f>
        <v>0.41229226305980904</v>
      </c>
      <c r="K133" s="178">
        <f t="shared" ref="K133:L133" si="73">+K135+K137</f>
        <v>9259700</v>
      </c>
      <c r="L133" s="178">
        <f t="shared" si="73"/>
        <v>0</v>
      </c>
      <c r="M133" s="180">
        <f>+K133+L133</f>
        <v>9259700</v>
      </c>
      <c r="N133" s="169">
        <f>+M133/F133</f>
        <v>0.35580702799285291</v>
      </c>
      <c r="O133" s="10">
        <f>+F133-M133</f>
        <v>16764800</v>
      </c>
      <c r="P133" s="77"/>
      <c r="Q133" s="6" t="str">
        <f t="shared" ref="Q133" si="74">IF(M133&lt;=I133,"OKE","Salah")</f>
        <v>OKE</v>
      </c>
      <c r="R133" s="6"/>
    </row>
    <row r="134" spans="1:23" ht="12.75" customHeight="1" x14ac:dyDescent="0.2">
      <c r="A134" s="74"/>
      <c r="B134" s="74"/>
      <c r="C134" s="83"/>
      <c r="D134" s="15"/>
      <c r="E134" s="17"/>
      <c r="F134" s="15"/>
      <c r="G134" s="78"/>
      <c r="H134" s="79"/>
      <c r="I134" s="80"/>
      <c r="J134" s="86"/>
      <c r="K134" s="78"/>
      <c r="L134" s="76"/>
      <c r="M134" s="76"/>
      <c r="N134" s="86"/>
      <c r="O134" s="15"/>
      <c r="P134" s="77"/>
      <c r="Q134" s="6"/>
      <c r="R134" s="6"/>
    </row>
    <row r="135" spans="1:23" ht="26.25" customHeight="1" x14ac:dyDescent="0.2">
      <c r="A135" s="74">
        <v>1</v>
      </c>
      <c r="B135" s="75" t="s">
        <v>282</v>
      </c>
      <c r="C135" s="304" t="s">
        <v>301</v>
      </c>
      <c r="D135" s="13">
        <v>11962500</v>
      </c>
      <c r="E135" s="14"/>
      <c r="F135" s="13">
        <f>E135+D135</f>
        <v>11962500</v>
      </c>
      <c r="G135" s="80">
        <f>+agt!I135</f>
        <v>2940000</v>
      </c>
      <c r="H135" s="79">
        <v>0</v>
      </c>
      <c r="I135" s="15">
        <f>+G135+H135</f>
        <v>2940000</v>
      </c>
      <c r="J135" s="143">
        <f>+I135/F135</f>
        <v>0.24576802507836989</v>
      </c>
      <c r="K135" s="80">
        <f>+agt!M135</f>
        <v>2940000</v>
      </c>
      <c r="L135" s="80">
        <v>0</v>
      </c>
      <c r="M135" s="80">
        <f>+K135+L135</f>
        <v>2940000</v>
      </c>
      <c r="N135" s="171">
        <f>+M135/F135</f>
        <v>0.24576802507836989</v>
      </c>
      <c r="O135" s="15">
        <f>+F135-M135</f>
        <v>9022500</v>
      </c>
      <c r="P135" s="77"/>
      <c r="Q135" s="6" t="str">
        <f t="shared" ref="Q135" si="75">IF(M135&lt;=I135,"OKE","Salah")</f>
        <v>OKE</v>
      </c>
      <c r="R135" s="6"/>
    </row>
    <row r="136" spans="1:23" ht="12.75" customHeight="1" x14ac:dyDescent="0.2">
      <c r="A136" s="74"/>
      <c r="B136" s="74"/>
      <c r="C136" s="83"/>
      <c r="D136" s="15"/>
      <c r="E136" s="17"/>
      <c r="F136" s="15"/>
      <c r="G136" s="78"/>
      <c r="H136" s="79"/>
      <c r="I136" s="80"/>
      <c r="J136" s="86"/>
      <c r="K136" s="78"/>
      <c r="L136" s="76"/>
      <c r="M136" s="76"/>
      <c r="N136" s="86"/>
      <c r="O136" s="15"/>
      <c r="P136" s="77"/>
      <c r="Q136" s="6"/>
      <c r="R136" s="6"/>
    </row>
    <row r="137" spans="1:23" ht="21" customHeight="1" x14ac:dyDescent="0.2">
      <c r="A137" s="74">
        <v>2</v>
      </c>
      <c r="B137" s="75" t="s">
        <v>300</v>
      </c>
      <c r="C137" s="83" t="s">
        <v>283</v>
      </c>
      <c r="D137" s="13">
        <v>14062000</v>
      </c>
      <c r="E137" s="14"/>
      <c r="F137" s="13">
        <f>E137+D137</f>
        <v>14062000</v>
      </c>
      <c r="G137" s="80">
        <f>+agt!I137</f>
        <v>6390800</v>
      </c>
      <c r="H137" s="79">
        <v>1398900</v>
      </c>
      <c r="I137" s="15">
        <f>+G137+H137</f>
        <v>7789700</v>
      </c>
      <c r="J137" s="143">
        <f>+I137/F137</f>
        <v>0.55395391836154173</v>
      </c>
      <c r="K137" s="80">
        <f>+agt!M137</f>
        <v>6319700</v>
      </c>
      <c r="L137" s="80">
        <v>0</v>
      </c>
      <c r="M137" s="80">
        <f>+K137+L137</f>
        <v>6319700</v>
      </c>
      <c r="N137" s="171">
        <f>+M137/F137</f>
        <v>0.44941686815531218</v>
      </c>
      <c r="O137" s="15">
        <f>+F137-M137</f>
        <v>7742300</v>
      </c>
      <c r="P137" s="77"/>
      <c r="Q137" s="6" t="str">
        <f t="shared" ref="Q137" si="76">IF(M137&lt;=I137,"OKE","Salah")</f>
        <v>OKE</v>
      </c>
      <c r="R137" s="6"/>
    </row>
    <row r="138" spans="1:23" ht="14.25" customHeight="1" x14ac:dyDescent="0.2">
      <c r="A138" s="74"/>
      <c r="B138" s="75"/>
      <c r="C138" s="83"/>
      <c r="D138" s="13"/>
      <c r="E138" s="14"/>
      <c r="F138" s="13"/>
      <c r="G138" s="78"/>
      <c r="H138" s="79"/>
      <c r="I138" s="15"/>
      <c r="J138" s="143"/>
      <c r="K138" s="78"/>
      <c r="L138" s="80"/>
      <c r="M138" s="80"/>
      <c r="N138" s="171"/>
      <c r="O138" s="15"/>
      <c r="P138" s="77"/>
      <c r="Q138" s="6"/>
      <c r="R138" s="6"/>
    </row>
    <row r="139" spans="1:23" ht="20.25" customHeight="1" x14ac:dyDescent="0.2">
      <c r="A139" s="139"/>
      <c r="B139" s="139"/>
      <c r="C139" s="210" t="s">
        <v>171</v>
      </c>
      <c r="D139" s="141">
        <f>+D135+D137</f>
        <v>26024500</v>
      </c>
      <c r="E139" s="211"/>
      <c r="F139" s="142">
        <f>+D139+E139</f>
        <v>26024500</v>
      </c>
      <c r="G139" s="141">
        <f>+G135+G137</f>
        <v>9330800</v>
      </c>
      <c r="H139" s="141">
        <f>+H135+H137</f>
        <v>1398900</v>
      </c>
      <c r="I139" s="141">
        <f>+G139+H139</f>
        <v>10729700</v>
      </c>
      <c r="J139" s="233">
        <f>+I139/F139</f>
        <v>0.41229226305980904</v>
      </c>
      <c r="K139" s="141">
        <f>+K135+K137</f>
        <v>9259700</v>
      </c>
      <c r="L139" s="141">
        <f>+L135+L137</f>
        <v>0</v>
      </c>
      <c r="M139" s="232">
        <f>+K139+L139</f>
        <v>9259700</v>
      </c>
      <c r="N139" s="247">
        <f>+M139/F139</f>
        <v>0.35580702799285291</v>
      </c>
      <c r="O139" s="141"/>
      <c r="P139" s="83"/>
      <c r="Q139" s="6"/>
      <c r="R139" s="6"/>
    </row>
    <row r="140" spans="1:23" ht="27.75" customHeight="1" x14ac:dyDescent="0.2">
      <c r="A140" s="74"/>
      <c r="B140" s="214" t="s">
        <v>193</v>
      </c>
      <c r="C140" s="208" t="s">
        <v>192</v>
      </c>
      <c r="D140" s="178">
        <f>SUM(D142:D146)</f>
        <v>23869143864</v>
      </c>
      <c r="E140" s="178">
        <f>+E142+E144+E146</f>
        <v>0</v>
      </c>
      <c r="F140" s="178">
        <f>+F142+F144+F146</f>
        <v>23869143864</v>
      </c>
      <c r="G140" s="314">
        <f t="shared" ref="G140:H140" si="77">SUM(G142:G146)</f>
        <v>15024115854</v>
      </c>
      <c r="H140" s="178">
        <f t="shared" si="77"/>
        <v>1680008111</v>
      </c>
      <c r="I140" s="312">
        <f>+G140+H140</f>
        <v>16704123965</v>
      </c>
      <c r="J140" s="168">
        <f>+I140/F140</f>
        <v>0.69982082558870284</v>
      </c>
      <c r="K140" s="314">
        <f t="shared" ref="K140:L140" si="78">SUM(K142:K146)</f>
        <v>15024104154</v>
      </c>
      <c r="L140" s="178">
        <f t="shared" si="78"/>
        <v>1675148111</v>
      </c>
      <c r="M140" s="351">
        <f>+K140+L140</f>
        <v>16699252265</v>
      </c>
      <c r="N140" s="169">
        <f>+M140/D140</f>
        <v>0.69961672526454555</v>
      </c>
      <c r="O140" s="10">
        <f>+F140-M140</f>
        <v>7169891599</v>
      </c>
      <c r="P140" s="77"/>
      <c r="Q140" s="6" t="str">
        <f t="shared" si="65"/>
        <v>OKE</v>
      </c>
      <c r="R140" s="6"/>
      <c r="T140" s="77"/>
      <c r="U140" s="77"/>
      <c r="V140" s="77"/>
      <c r="W140" s="77"/>
    </row>
    <row r="141" spans="1:23" ht="14.25" customHeight="1" x14ac:dyDescent="0.2">
      <c r="A141" s="74"/>
      <c r="B141" s="74"/>
      <c r="C141" s="83"/>
      <c r="D141" s="15"/>
      <c r="E141" s="17"/>
      <c r="F141" s="15"/>
      <c r="G141" s="78"/>
      <c r="H141" s="79"/>
      <c r="I141" s="80"/>
      <c r="J141" s="86"/>
      <c r="K141" s="78"/>
      <c r="L141" s="76"/>
      <c r="M141" s="76"/>
      <c r="N141" s="86"/>
      <c r="O141" s="15"/>
      <c r="P141" s="77"/>
      <c r="Q141" s="6"/>
      <c r="R141" s="6"/>
    </row>
    <row r="142" spans="1:23" ht="17.100000000000001" customHeight="1" x14ac:dyDescent="0.2">
      <c r="A142" s="74">
        <v>3</v>
      </c>
      <c r="B142" s="75" t="s">
        <v>275</v>
      </c>
      <c r="C142" s="83" t="s">
        <v>276</v>
      </c>
      <c r="D142" s="13">
        <v>23812113864</v>
      </c>
      <c r="E142" s="14"/>
      <c r="F142" s="13">
        <f>E142+D142</f>
        <v>23812113864</v>
      </c>
      <c r="G142" s="315">
        <f>+agt!I142</f>
        <v>14992167754</v>
      </c>
      <c r="H142" s="79">
        <f>24077162+5106434+21862058+689185338+917907119+17010000</f>
        <v>1675148111</v>
      </c>
      <c r="I142" s="352">
        <f>+G142+H142</f>
        <v>16667315865</v>
      </c>
      <c r="J142" s="143">
        <f>+I142/F142</f>
        <v>0.69995112404523818</v>
      </c>
      <c r="K142" s="315">
        <f>+agt!M142</f>
        <v>14992167754</v>
      </c>
      <c r="L142" s="79">
        <f>24077162+5106434+21862058+689185338+917907119+17010000</f>
        <v>1675148111</v>
      </c>
      <c r="M142" s="315">
        <f>+K142+L142</f>
        <v>16667315865</v>
      </c>
      <c r="N142" s="171">
        <f>+M142/D142</f>
        <v>0.69995112404523818</v>
      </c>
      <c r="O142" s="15">
        <f>+F142-M142</f>
        <v>7144797999</v>
      </c>
      <c r="P142" s="77"/>
      <c r="Q142" s="6" t="str">
        <f t="shared" ref="Q142" si="79">IF(M142&lt;=I142,"OKE","Salah")</f>
        <v>OKE</v>
      </c>
      <c r="R142" s="6"/>
    </row>
    <row r="143" spans="1:23" ht="12.75" customHeight="1" x14ac:dyDescent="0.2">
      <c r="A143" s="74"/>
      <c r="B143" s="74"/>
      <c r="C143" s="83"/>
      <c r="D143" s="15"/>
      <c r="E143" s="17"/>
      <c r="F143" s="15"/>
      <c r="G143" s="78"/>
      <c r="H143" s="79"/>
      <c r="I143" s="80"/>
      <c r="J143" s="86"/>
      <c r="K143" s="78"/>
      <c r="L143" s="76"/>
      <c r="M143" s="76"/>
      <c r="N143" s="86"/>
      <c r="O143" s="15"/>
      <c r="P143" s="77"/>
      <c r="Q143" s="6"/>
      <c r="R143" s="6"/>
    </row>
    <row r="144" spans="1:23" s="77" customFormat="1" ht="17.100000000000001" customHeight="1" x14ac:dyDescent="0.2">
      <c r="A144" s="74">
        <v>4</v>
      </c>
      <c r="B144" s="75" t="s">
        <v>195</v>
      </c>
      <c r="C144" s="83" t="s">
        <v>194</v>
      </c>
      <c r="D144" s="13">
        <v>44450000</v>
      </c>
      <c r="E144" s="14"/>
      <c r="F144" s="13">
        <f>E144+D144</f>
        <v>44450000</v>
      </c>
      <c r="G144" s="80">
        <f>+agt!I144</f>
        <v>24093500</v>
      </c>
      <c r="H144" s="79">
        <v>4860000</v>
      </c>
      <c r="I144" s="15">
        <f>+G144+H144</f>
        <v>28953500</v>
      </c>
      <c r="J144" s="143">
        <f>+I144/F144</f>
        <v>0.65137232845894266</v>
      </c>
      <c r="K144" s="80">
        <f>+agt!M144</f>
        <v>24093500</v>
      </c>
      <c r="L144" s="80">
        <v>0</v>
      </c>
      <c r="M144" s="80">
        <f>+K144+L144</f>
        <v>24093500</v>
      </c>
      <c r="N144" s="171">
        <f>+M144/D144</f>
        <v>0.54203599550056247</v>
      </c>
      <c r="O144" s="15">
        <f>+F144-M144</f>
        <v>20356500</v>
      </c>
      <c r="P144" s="83"/>
      <c r="Q144" s="6" t="str">
        <f t="shared" si="65"/>
        <v>OKE</v>
      </c>
      <c r="R144" s="6"/>
      <c r="S144" s="68"/>
    </row>
    <row r="145" spans="1:19" s="77" customFormat="1" ht="13.5" customHeight="1" x14ac:dyDescent="0.2">
      <c r="A145" s="74"/>
      <c r="B145" s="74"/>
      <c r="C145" s="76"/>
      <c r="D145" s="15"/>
      <c r="E145" s="17"/>
      <c r="F145" s="15"/>
      <c r="G145" s="78"/>
      <c r="H145" s="79"/>
      <c r="I145" s="80"/>
      <c r="J145" s="86"/>
      <c r="K145" s="78"/>
      <c r="L145" s="76"/>
      <c r="M145" s="76"/>
      <c r="N145" s="86"/>
      <c r="O145" s="15"/>
      <c r="P145" s="83"/>
      <c r="Q145" s="6"/>
      <c r="R145" s="6"/>
      <c r="S145" s="68"/>
    </row>
    <row r="146" spans="1:19" ht="33" customHeight="1" x14ac:dyDescent="0.2">
      <c r="A146" s="74">
        <v>5</v>
      </c>
      <c r="B146" s="228" t="s">
        <v>197</v>
      </c>
      <c r="C146" s="273" t="s">
        <v>196</v>
      </c>
      <c r="D146" s="213">
        <v>12580000</v>
      </c>
      <c r="E146" s="14"/>
      <c r="F146" s="13">
        <f>E146+D146</f>
        <v>12580000</v>
      </c>
      <c r="G146" s="80">
        <f>+agt!I146</f>
        <v>7854600</v>
      </c>
      <c r="H146" s="79">
        <v>0</v>
      </c>
      <c r="I146" s="15">
        <f>+G146+H146</f>
        <v>7854600</v>
      </c>
      <c r="J146" s="143">
        <f>+I146/F146</f>
        <v>0.62437201907790141</v>
      </c>
      <c r="K146" s="80">
        <f>+agt!M146</f>
        <v>7842900</v>
      </c>
      <c r="L146" s="80">
        <v>0</v>
      </c>
      <c r="M146" s="80">
        <f>+K146+L146</f>
        <v>7842900</v>
      </c>
      <c r="N146" s="171">
        <f>+M146/D146</f>
        <v>0.62344197138314783</v>
      </c>
      <c r="O146" s="15">
        <f>+F146-M146</f>
        <v>4737100</v>
      </c>
      <c r="P146" s="83"/>
      <c r="Q146" s="6" t="str">
        <f t="shared" ref="Q146" si="80">IF(M146&lt;=I146,"OKE","Salah")</f>
        <v>OKE</v>
      </c>
      <c r="R146" s="6"/>
    </row>
    <row r="147" spans="1:19" ht="24" customHeight="1" x14ac:dyDescent="0.2">
      <c r="A147" s="139"/>
      <c r="B147" s="139"/>
      <c r="C147" s="210" t="s">
        <v>171</v>
      </c>
      <c r="D147" s="141">
        <f>SUM(D142:D146)</f>
        <v>23869143864</v>
      </c>
      <c r="E147" s="141">
        <f t="shared" ref="E147:F147" si="81">SUM(E142:E146)</f>
        <v>0</v>
      </c>
      <c r="F147" s="141">
        <f t="shared" si="81"/>
        <v>23869143864</v>
      </c>
      <c r="G147" s="313">
        <f>SUM(G142:G146)</f>
        <v>15024115854</v>
      </c>
      <c r="H147" s="141">
        <f>SUM(H142:H146)</f>
        <v>1680008111</v>
      </c>
      <c r="I147" s="313">
        <f>+G147+H147</f>
        <v>16704123965</v>
      </c>
      <c r="J147" s="247"/>
      <c r="K147" s="313">
        <f>SUM(K142:K146)</f>
        <v>15024104154</v>
      </c>
      <c r="L147" s="141">
        <f>SUM(L142:L146)</f>
        <v>1675148111</v>
      </c>
      <c r="M147" s="353">
        <f>+K147+L147</f>
        <v>16699252265</v>
      </c>
      <c r="N147" s="173">
        <f>+M147/D147</f>
        <v>0.69961672526454555</v>
      </c>
      <c r="O147" s="141">
        <f>+F147-M147</f>
        <v>7169891599</v>
      </c>
      <c r="P147" s="83"/>
      <c r="Q147" s="6"/>
      <c r="R147" s="6"/>
    </row>
    <row r="148" spans="1:19" ht="15.95" customHeight="1" x14ac:dyDescent="0.2">
      <c r="A148" s="74"/>
      <c r="B148" s="29"/>
      <c r="C148" s="25"/>
      <c r="D148" s="178"/>
      <c r="E148" s="221"/>
      <c r="F148" s="178"/>
      <c r="G148" s="178"/>
      <c r="H148" s="178"/>
      <c r="I148" s="10"/>
      <c r="J148" s="168"/>
      <c r="K148" s="194"/>
      <c r="L148" s="180"/>
      <c r="M148" s="180"/>
      <c r="N148" s="169"/>
      <c r="O148" s="10"/>
      <c r="P148" s="208"/>
      <c r="Q148" s="6"/>
      <c r="R148" s="6"/>
    </row>
    <row r="149" spans="1:19" ht="14.1" customHeight="1" x14ac:dyDescent="0.2">
      <c r="A149" s="212"/>
      <c r="B149" s="214" t="s">
        <v>193</v>
      </c>
      <c r="C149" s="469" t="s">
        <v>313</v>
      </c>
      <c r="D149" s="178">
        <f>+D151</f>
        <v>1621482000</v>
      </c>
      <c r="E149" s="221"/>
      <c r="F149" s="178">
        <f>+D149+E149</f>
        <v>1621482000</v>
      </c>
      <c r="G149" s="178">
        <f t="shared" ref="G149:H149" si="82">+G151</f>
        <v>781571807</v>
      </c>
      <c r="H149" s="178">
        <f t="shared" si="82"/>
        <v>109622865</v>
      </c>
      <c r="I149" s="10">
        <f>+G149+H149</f>
        <v>891194672</v>
      </c>
      <c r="J149" s="168">
        <f>+I149/F149</f>
        <v>0.5496173697888721</v>
      </c>
      <c r="K149" s="178">
        <f t="shared" ref="K149:L149" si="83">+K151</f>
        <v>781571807</v>
      </c>
      <c r="L149" s="178">
        <f t="shared" si="83"/>
        <v>109622865</v>
      </c>
      <c r="M149" s="180">
        <f>+K149+L149</f>
        <v>891194672</v>
      </c>
      <c r="N149" s="169">
        <f>+M149/D149</f>
        <v>0.5496173697888721</v>
      </c>
      <c r="O149" s="10">
        <f>+F149-M149</f>
        <v>730287328</v>
      </c>
      <c r="P149" s="208"/>
      <c r="Q149" s="6" t="str">
        <f t="shared" ref="Q149" si="84">IF(M149&lt;=I149,"OKE","Salah")</f>
        <v>OKE</v>
      </c>
      <c r="R149" s="6"/>
    </row>
    <row r="150" spans="1:19" ht="14.1" customHeight="1" x14ac:dyDescent="0.2">
      <c r="A150" s="212"/>
      <c r="B150" s="218"/>
      <c r="C150" s="469"/>
      <c r="D150" s="178"/>
      <c r="E150" s="221"/>
      <c r="F150" s="178"/>
      <c r="G150" s="178"/>
      <c r="H150" s="178"/>
      <c r="I150" s="10"/>
      <c r="J150" s="168"/>
      <c r="K150" s="194"/>
      <c r="L150" s="180"/>
      <c r="M150" s="180"/>
      <c r="N150" s="169"/>
      <c r="O150" s="10"/>
      <c r="P150" s="208"/>
      <c r="Q150" s="6"/>
      <c r="R150" s="6"/>
    </row>
    <row r="151" spans="1:19" ht="14.1" customHeight="1" x14ac:dyDescent="0.2">
      <c r="A151" s="74">
        <v>6</v>
      </c>
      <c r="B151" s="218"/>
      <c r="C151" s="219" t="s">
        <v>314</v>
      </c>
      <c r="D151" s="13">
        <v>1621482000</v>
      </c>
      <c r="E151" s="14"/>
      <c r="F151" s="13">
        <f>D151</f>
        <v>1621482000</v>
      </c>
      <c r="G151" s="80">
        <f>+agt!I151</f>
        <v>781571807</v>
      </c>
      <c r="H151" s="79">
        <f>4598328+56354856+749681+47920000</f>
        <v>109622865</v>
      </c>
      <c r="I151" s="15">
        <f>+G151+H151</f>
        <v>891194672</v>
      </c>
      <c r="J151" s="143">
        <f>+I151/F151</f>
        <v>0.5496173697888721</v>
      </c>
      <c r="K151" s="80">
        <f>+agt!M151</f>
        <v>781571807</v>
      </c>
      <c r="L151" s="79">
        <f>4598328+56354856+749681+47920000</f>
        <v>109622865</v>
      </c>
      <c r="M151" s="80">
        <f>+K151+L151</f>
        <v>891194672</v>
      </c>
      <c r="N151" s="171">
        <f>+M151/D151</f>
        <v>0.5496173697888721</v>
      </c>
      <c r="O151" s="15">
        <f>+F151-M151</f>
        <v>730287328</v>
      </c>
      <c r="P151" s="83"/>
      <c r="Q151" s="6" t="str">
        <f t="shared" ref="Q151:Q153" si="85">IF(M151&lt;=I151,"OKE","Salah")</f>
        <v>OKE</v>
      </c>
      <c r="R151" s="6"/>
    </row>
    <row r="152" spans="1:19" ht="14.1" customHeight="1" x14ac:dyDescent="0.2">
      <c r="A152" s="212"/>
      <c r="B152" s="218"/>
      <c r="C152" s="25"/>
      <c r="D152" s="178"/>
      <c r="E152" s="221"/>
      <c r="F152" s="178"/>
      <c r="G152" s="178"/>
      <c r="H152" s="178"/>
      <c r="I152" s="10"/>
      <c r="J152" s="168"/>
      <c r="K152" s="194"/>
      <c r="L152" s="180"/>
      <c r="M152" s="180"/>
      <c r="N152" s="169"/>
      <c r="O152" s="10"/>
      <c r="P152" s="208"/>
      <c r="Q152" s="6"/>
      <c r="R152" s="6"/>
    </row>
    <row r="153" spans="1:19" ht="20.25" customHeight="1" x14ac:dyDescent="0.2">
      <c r="A153" s="226"/>
      <c r="B153" s="227"/>
      <c r="C153" s="223" t="s">
        <v>171</v>
      </c>
      <c r="D153" s="224">
        <f>+D151</f>
        <v>1621482000</v>
      </c>
      <c r="E153" s="224">
        <f t="shared" ref="E153:F153" si="86">+E151</f>
        <v>0</v>
      </c>
      <c r="F153" s="224">
        <f t="shared" si="86"/>
        <v>1621482000</v>
      </c>
      <c r="G153" s="224">
        <f>+G151</f>
        <v>781571807</v>
      </c>
      <c r="H153" s="224">
        <f>+H151</f>
        <v>109622865</v>
      </c>
      <c r="I153" s="141">
        <f>+G153+H153</f>
        <v>891194672</v>
      </c>
      <c r="J153" s="176">
        <f>+I153/F153</f>
        <v>0.5496173697888721</v>
      </c>
      <c r="K153" s="224">
        <f t="shared" ref="K153:L153" si="87">+K151</f>
        <v>781571807</v>
      </c>
      <c r="L153" s="224">
        <f t="shared" si="87"/>
        <v>109622865</v>
      </c>
      <c r="M153" s="232">
        <f>+K153+L153</f>
        <v>891194672</v>
      </c>
      <c r="N153" s="173">
        <f>+M153/D153</f>
        <v>0.5496173697888721</v>
      </c>
      <c r="O153" s="141">
        <f>+F153-M153</f>
        <v>730287328</v>
      </c>
      <c r="P153" s="208"/>
      <c r="Q153" s="6" t="str">
        <f t="shared" si="85"/>
        <v>OKE</v>
      </c>
      <c r="R153" s="6"/>
    </row>
    <row r="154" spans="1:19" ht="14.1" customHeight="1" x14ac:dyDescent="0.2">
      <c r="A154" s="212"/>
      <c r="B154" s="218"/>
      <c r="C154" s="25"/>
      <c r="D154" s="178"/>
      <c r="E154" s="221"/>
      <c r="F154" s="178"/>
      <c r="G154" s="178"/>
      <c r="H154" s="178"/>
      <c r="I154" s="10"/>
      <c r="J154" s="168"/>
      <c r="K154" s="194"/>
      <c r="L154" s="180"/>
      <c r="M154" s="180"/>
      <c r="N154" s="169"/>
      <c r="O154" s="10"/>
      <c r="P154" s="208"/>
      <c r="Q154" s="6"/>
      <c r="R154" s="6"/>
    </row>
    <row r="155" spans="1:19" ht="26.25" customHeight="1" x14ac:dyDescent="0.2">
      <c r="A155" s="74"/>
      <c r="B155" s="214" t="s">
        <v>304</v>
      </c>
      <c r="C155" s="357" t="s">
        <v>277</v>
      </c>
      <c r="D155" s="178">
        <f>+D157</f>
        <v>176581229</v>
      </c>
      <c r="E155" s="14"/>
      <c r="F155" s="13">
        <f>E155+D155</f>
        <v>176581229</v>
      </c>
      <c r="G155" s="80">
        <f>+maret!I169</f>
        <v>0</v>
      </c>
      <c r="H155" s="178">
        <f>+H157+H160</f>
        <v>0</v>
      </c>
      <c r="I155" s="10">
        <f>+G155+H155</f>
        <v>0</v>
      </c>
      <c r="J155" s="168">
        <f>+I155/F155</f>
        <v>0</v>
      </c>
      <c r="K155" s="178">
        <f>+K157+K160</f>
        <v>0</v>
      </c>
      <c r="L155" s="178">
        <f>+L157+L160</f>
        <v>0</v>
      </c>
      <c r="M155" s="180">
        <f>+K155+L155</f>
        <v>0</v>
      </c>
      <c r="N155" s="169">
        <f>+M155/D155</f>
        <v>0</v>
      </c>
      <c r="O155" s="10">
        <f>+F155-M155</f>
        <v>176581229</v>
      </c>
      <c r="P155" s="83"/>
      <c r="Q155" s="6" t="str">
        <f t="shared" ref="Q155" si="88">IF(M155&lt;=I155,"OKE","Salah")</f>
        <v>OKE</v>
      </c>
      <c r="R155" s="6"/>
    </row>
    <row r="156" spans="1:19" ht="15" customHeight="1" x14ac:dyDescent="0.2">
      <c r="A156" s="74"/>
      <c r="B156" s="74"/>
      <c r="C156" s="76"/>
      <c r="D156" s="15"/>
      <c r="E156" s="15"/>
      <c r="F156" s="15"/>
      <c r="G156" s="80"/>
      <c r="H156" s="79"/>
      <c r="I156" s="80"/>
      <c r="J156" s="86"/>
      <c r="K156" s="80"/>
      <c r="L156" s="76"/>
      <c r="M156" s="76"/>
      <c r="N156" s="86"/>
      <c r="O156" s="10"/>
      <c r="P156" s="83"/>
      <c r="Q156" s="6"/>
      <c r="R156" s="6"/>
    </row>
    <row r="157" spans="1:19" ht="18.75" customHeight="1" x14ac:dyDescent="0.2">
      <c r="A157" s="74">
        <v>7</v>
      </c>
      <c r="B157" s="29" t="s">
        <v>303</v>
      </c>
      <c r="C157" s="27" t="s">
        <v>278</v>
      </c>
      <c r="D157" s="13">
        <v>176581229</v>
      </c>
      <c r="E157" s="14"/>
      <c r="F157" s="13">
        <f>E157+D157</f>
        <v>176581229</v>
      </c>
      <c r="G157" s="80">
        <f>+agt!I157</f>
        <v>0</v>
      </c>
      <c r="H157" s="79">
        <v>0</v>
      </c>
      <c r="I157" s="15">
        <f>+G157+H157</f>
        <v>0</v>
      </c>
      <c r="J157" s="143">
        <f>+I157/F157</f>
        <v>0</v>
      </c>
      <c r="K157" s="80">
        <f>+agt!M157</f>
        <v>0</v>
      </c>
      <c r="L157" s="80">
        <v>0</v>
      </c>
      <c r="M157" s="80">
        <f>+K157+L157</f>
        <v>0</v>
      </c>
      <c r="N157" s="171">
        <f>+M157/D157</f>
        <v>0</v>
      </c>
      <c r="O157" s="15">
        <f>+F157-M157</f>
        <v>176581229</v>
      </c>
      <c r="P157" s="83"/>
      <c r="Q157" s="6" t="str">
        <f t="shared" ref="Q157" si="89">IF(M157&lt;=I157,"OKE","Salah")</f>
        <v>OKE</v>
      </c>
      <c r="R157" s="6"/>
    </row>
    <row r="158" spans="1:19" ht="13.5" customHeight="1" x14ac:dyDescent="0.2">
      <c r="A158" s="74"/>
      <c r="B158" s="29"/>
      <c r="C158" s="27"/>
      <c r="D158" s="13"/>
      <c r="E158" s="14"/>
      <c r="F158" s="13"/>
      <c r="G158" s="78"/>
      <c r="H158" s="79"/>
      <c r="I158" s="15"/>
      <c r="J158" s="143"/>
      <c r="K158" s="78"/>
      <c r="L158" s="80"/>
      <c r="M158" s="80"/>
      <c r="N158" s="171"/>
      <c r="O158" s="15"/>
      <c r="P158" s="83"/>
      <c r="Q158" s="6"/>
      <c r="R158" s="6"/>
    </row>
    <row r="159" spans="1:19" ht="18.75" customHeight="1" x14ac:dyDescent="0.2">
      <c r="A159" s="139"/>
      <c r="B159" s="222"/>
      <c r="C159" s="223" t="s">
        <v>171</v>
      </c>
      <c r="D159" s="224">
        <f>+D157</f>
        <v>176581229</v>
      </c>
      <c r="E159" s="224">
        <f>+E157</f>
        <v>0</v>
      </c>
      <c r="F159" s="224">
        <f>+F157</f>
        <v>176581229</v>
      </c>
      <c r="G159" s="224">
        <f>+G157</f>
        <v>0</v>
      </c>
      <c r="H159" s="224">
        <f>+H157</f>
        <v>0</v>
      </c>
      <c r="I159" s="141">
        <f>+G159+H159</f>
        <v>0</v>
      </c>
      <c r="J159" s="176">
        <f>+I159/F159</f>
        <v>0</v>
      </c>
      <c r="K159" s="224">
        <f>+K157</f>
        <v>0</v>
      </c>
      <c r="L159" s="224">
        <f>+L157</f>
        <v>0</v>
      </c>
      <c r="M159" s="232">
        <f>+K159+L159</f>
        <v>0</v>
      </c>
      <c r="N159" s="173">
        <f>+M159/D159</f>
        <v>0</v>
      </c>
      <c r="O159" s="141">
        <f>+F159-M159</f>
        <v>176581229</v>
      </c>
      <c r="P159" s="208"/>
      <c r="Q159" s="6" t="str">
        <f t="shared" ref="Q159" si="90">IF(M159&lt;=I159,"OKE","Salah")</f>
        <v>OKE</v>
      </c>
      <c r="R159" s="6"/>
    </row>
    <row r="160" spans="1:19" ht="14.1" customHeight="1" x14ac:dyDescent="0.2">
      <c r="A160" s="81"/>
      <c r="B160" s="81"/>
      <c r="C160" s="251"/>
      <c r="D160" s="32"/>
      <c r="E160" s="32"/>
      <c r="F160" s="32"/>
      <c r="G160" s="252"/>
      <c r="H160" s="253"/>
      <c r="I160" s="252"/>
      <c r="J160" s="254"/>
      <c r="K160" s="252"/>
      <c r="L160" s="251"/>
      <c r="M160" s="251"/>
      <c r="N160" s="86"/>
      <c r="O160" s="76"/>
      <c r="P160" s="83"/>
      <c r="Q160" s="6"/>
      <c r="R160" s="6"/>
    </row>
    <row r="161" spans="1:18" ht="14.1" customHeight="1" x14ac:dyDescent="0.2">
      <c r="A161" s="388"/>
      <c r="B161" s="388"/>
      <c r="C161" s="395" t="s">
        <v>137</v>
      </c>
      <c r="D161" s="364">
        <f>+D139+D147+D153+D159</f>
        <v>25693231593</v>
      </c>
      <c r="E161" s="364">
        <v>0</v>
      </c>
      <c r="F161" s="364">
        <f>+D161+E161</f>
        <v>25693231593</v>
      </c>
      <c r="G161" s="455">
        <f>+G139+G147+G153+G159</f>
        <v>15815018461</v>
      </c>
      <c r="H161" s="364">
        <f>+H139+H147+H153+H159</f>
        <v>1791029876</v>
      </c>
      <c r="I161" s="455">
        <f>+I139+I147+I153+I159</f>
        <v>17606048337</v>
      </c>
      <c r="J161" s="398">
        <f>+I161/F161</f>
        <v>0.68524071303652923</v>
      </c>
      <c r="K161" s="455">
        <f>+K139+K147+K159+K153</f>
        <v>15814935661</v>
      </c>
      <c r="L161" s="364">
        <f>+L139+L147+L153+L159</f>
        <v>1784770976</v>
      </c>
      <c r="M161" s="455">
        <f>+K161+L161</f>
        <v>17599706637</v>
      </c>
      <c r="N161" s="405">
        <f>+M161/F161</f>
        <v>0.68499388927763205</v>
      </c>
      <c r="O161" s="402">
        <f>+F161-M161</f>
        <v>8093524956</v>
      </c>
      <c r="P161" s="83"/>
      <c r="Q161" s="6" t="str">
        <f t="shared" ref="Q161:Q162" si="91">IF(M161&lt;=I161,"OKE","Salah")</f>
        <v>OKE</v>
      </c>
      <c r="R161" s="6"/>
    </row>
    <row r="162" spans="1:18" ht="14.1" customHeight="1" x14ac:dyDescent="0.2">
      <c r="A162" s="389"/>
      <c r="B162" s="389"/>
      <c r="C162" s="396"/>
      <c r="D162" s="396"/>
      <c r="E162" s="396"/>
      <c r="F162" s="396"/>
      <c r="G162" s="456"/>
      <c r="H162" s="396"/>
      <c r="I162" s="456"/>
      <c r="J162" s="404"/>
      <c r="K162" s="456"/>
      <c r="L162" s="396"/>
      <c r="M162" s="464"/>
      <c r="N162" s="406"/>
      <c r="O162" s="403"/>
      <c r="P162" s="83"/>
      <c r="Q162" s="6" t="str">
        <f t="shared" si="91"/>
        <v>OKE</v>
      </c>
      <c r="R162" s="6"/>
    </row>
    <row r="163" spans="1:18" ht="15" customHeight="1" x14ac:dyDescent="0.2">
      <c r="A163" s="74"/>
      <c r="B163" s="74"/>
      <c r="C163" s="76"/>
      <c r="D163" s="15"/>
      <c r="E163" s="15"/>
      <c r="F163" s="15"/>
      <c r="G163" s="80"/>
      <c r="H163" s="79"/>
      <c r="I163" s="80"/>
      <c r="J163" s="86"/>
      <c r="K163" s="80"/>
      <c r="L163" s="76"/>
      <c r="M163" s="76"/>
      <c r="N163" s="86"/>
      <c r="O163" s="10"/>
      <c r="P163" s="83"/>
      <c r="Q163" s="6"/>
      <c r="R163" s="6"/>
    </row>
    <row r="164" spans="1:18" ht="15" customHeight="1" x14ac:dyDescent="0.2">
      <c r="A164" s="74"/>
      <c r="B164" s="74"/>
      <c r="C164" s="76"/>
      <c r="D164" s="15"/>
      <c r="E164" s="15"/>
      <c r="F164" s="15"/>
      <c r="G164" s="80"/>
      <c r="H164" s="79"/>
      <c r="I164" s="80"/>
      <c r="J164" s="86"/>
      <c r="K164" s="80"/>
      <c r="L164" s="76"/>
      <c r="M164" s="76"/>
      <c r="N164" s="86"/>
      <c r="O164" s="10"/>
      <c r="P164" s="83"/>
      <c r="Q164" s="6"/>
      <c r="R164" s="6"/>
    </row>
    <row r="165" spans="1:18" ht="15" customHeight="1" x14ac:dyDescent="0.2">
      <c r="A165" s="74"/>
      <c r="B165" s="74"/>
      <c r="C165" s="244" t="s">
        <v>70</v>
      </c>
      <c r="D165" s="15"/>
      <c r="E165" s="15"/>
      <c r="F165" s="15"/>
      <c r="G165" s="80"/>
      <c r="H165" s="79"/>
      <c r="I165" s="80"/>
      <c r="J165" s="86"/>
      <c r="K165" s="80"/>
      <c r="L165" s="76"/>
      <c r="M165" s="76"/>
      <c r="N165" s="86"/>
      <c r="O165" s="10"/>
      <c r="P165" s="83"/>
      <c r="Q165" s="6"/>
      <c r="R165" s="6"/>
    </row>
    <row r="166" spans="1:18" ht="14.1" customHeight="1" x14ac:dyDescent="0.2">
      <c r="A166" s="74"/>
      <c r="B166" s="74"/>
      <c r="C166" s="76"/>
      <c r="D166" s="15"/>
      <c r="E166" s="15"/>
      <c r="F166" s="15"/>
      <c r="G166" s="80"/>
      <c r="H166" s="79"/>
      <c r="I166" s="80"/>
      <c r="J166" s="86"/>
      <c r="K166" s="80"/>
      <c r="L166" s="76"/>
      <c r="M166" s="76"/>
      <c r="N166" s="86"/>
      <c r="O166" s="10"/>
      <c r="P166" s="77"/>
      <c r="Q166" s="6"/>
      <c r="R166" s="6"/>
    </row>
    <row r="167" spans="1:18" ht="24.75" customHeight="1" x14ac:dyDescent="0.2">
      <c r="A167" s="7"/>
      <c r="B167" s="206" t="s">
        <v>154</v>
      </c>
      <c r="C167" s="201" t="s">
        <v>153</v>
      </c>
      <c r="D167" s="10">
        <f>+D169</f>
        <v>1189109400</v>
      </c>
      <c r="E167" s="10">
        <f t="shared" ref="E167:H167" si="92">+E169</f>
        <v>0</v>
      </c>
      <c r="F167" s="10">
        <f t="shared" si="92"/>
        <v>1189109400</v>
      </c>
      <c r="G167" s="10">
        <f t="shared" si="92"/>
        <v>666849220</v>
      </c>
      <c r="H167" s="10">
        <f t="shared" si="92"/>
        <v>60441450</v>
      </c>
      <c r="I167" s="10">
        <f>+G167+H167</f>
        <v>727290670</v>
      </c>
      <c r="J167" s="168">
        <f>+I167/F167</f>
        <v>0.61162637348590465</v>
      </c>
      <c r="K167" s="10">
        <f t="shared" ref="K167:L167" si="93">+K169</f>
        <v>666839170</v>
      </c>
      <c r="L167" s="10">
        <f t="shared" si="93"/>
        <v>14700000</v>
      </c>
      <c r="M167" s="10">
        <f>+K167+L167</f>
        <v>681539170</v>
      </c>
      <c r="N167" s="169">
        <f>+M167/F167</f>
        <v>0.57315093968645781</v>
      </c>
      <c r="O167" s="10">
        <f>+F167-M167</f>
        <v>507570230</v>
      </c>
      <c r="P167" s="77"/>
      <c r="Q167" s="6" t="str">
        <f t="shared" ref="Q167" si="94">IF(M167&lt;=I167,"OKE","Salah")</f>
        <v>OKE</v>
      </c>
      <c r="R167" s="6"/>
    </row>
    <row r="168" spans="1:18" ht="14.1" customHeight="1" x14ac:dyDescent="0.2">
      <c r="A168" s="74"/>
      <c r="B168" s="74"/>
      <c r="C168" s="76"/>
      <c r="D168" s="15"/>
      <c r="E168" s="15"/>
      <c r="F168" s="15"/>
      <c r="G168" s="80"/>
      <c r="H168" s="79"/>
      <c r="I168" s="80"/>
      <c r="J168" s="86"/>
      <c r="K168" s="80"/>
      <c r="L168" s="76"/>
      <c r="M168" s="76"/>
      <c r="N168" s="86"/>
      <c r="O168" s="10"/>
      <c r="P168" s="77"/>
      <c r="Q168" s="6"/>
      <c r="R168" s="6"/>
    </row>
    <row r="169" spans="1:18" ht="18" customHeight="1" x14ac:dyDescent="0.2">
      <c r="A169" s="74"/>
      <c r="B169" s="95" t="s">
        <v>212</v>
      </c>
      <c r="C169" s="25" t="s">
        <v>213</v>
      </c>
      <c r="D169" s="178">
        <f>SUM(D171:D177)</f>
        <v>1189109400</v>
      </c>
      <c r="E169" s="14"/>
      <c r="F169" s="178">
        <f>E169+D169</f>
        <v>1189109400</v>
      </c>
      <c r="G169" s="178">
        <f>SUM(G171:G177)</f>
        <v>666849220</v>
      </c>
      <c r="H169" s="178">
        <f>SUM(H171:H177)</f>
        <v>60441450</v>
      </c>
      <c r="I169" s="10">
        <f>H169+G169</f>
        <v>727290670</v>
      </c>
      <c r="J169" s="168">
        <f>+I169/F169</f>
        <v>0.61162637348590465</v>
      </c>
      <c r="K169" s="178">
        <f>SUM(K171:K177)</f>
        <v>666839170</v>
      </c>
      <c r="L169" s="178">
        <f>SUM(L171:L177)</f>
        <v>14700000</v>
      </c>
      <c r="M169" s="180">
        <f>+K169+L169</f>
        <v>681539170</v>
      </c>
      <c r="N169" s="169">
        <f>+M169/F169</f>
        <v>0.57315093968645781</v>
      </c>
      <c r="O169" s="10">
        <f>+F169-M169</f>
        <v>507570230</v>
      </c>
      <c r="P169" s="77"/>
      <c r="Q169" s="6" t="str">
        <f t="shared" ref="Q169" si="95">IF(M169&lt;=I169,"OKE","Salah")</f>
        <v>OKE</v>
      </c>
      <c r="R169" s="6"/>
    </row>
    <row r="170" spans="1:18" ht="15.75" customHeight="1" x14ac:dyDescent="0.2">
      <c r="A170" s="74"/>
      <c r="B170" s="95"/>
      <c r="C170" s="27"/>
      <c r="D170" s="13"/>
      <c r="E170" s="14"/>
      <c r="F170" s="13"/>
      <c r="G170" s="78"/>
      <c r="H170" s="79"/>
      <c r="I170" s="15"/>
      <c r="J170" s="143"/>
      <c r="K170" s="80"/>
      <c r="L170" s="80"/>
      <c r="M170" s="80"/>
      <c r="N170" s="171"/>
      <c r="O170" s="15"/>
      <c r="P170" s="77"/>
      <c r="Q170" s="6"/>
      <c r="R170" s="6"/>
    </row>
    <row r="171" spans="1:18" ht="14.1" customHeight="1" x14ac:dyDescent="0.2">
      <c r="A171" s="74">
        <v>1</v>
      </c>
      <c r="B171" s="95" t="s">
        <v>215</v>
      </c>
      <c r="C171" s="27" t="s">
        <v>214</v>
      </c>
      <c r="D171" s="13">
        <v>206216100</v>
      </c>
      <c r="E171" s="14"/>
      <c r="F171" s="13">
        <f>E171+D171</f>
        <v>206216100</v>
      </c>
      <c r="G171" s="80">
        <f>+agt!I171</f>
        <v>124956770</v>
      </c>
      <c r="H171" s="79">
        <v>13046250</v>
      </c>
      <c r="I171" s="15">
        <f>H171+G171</f>
        <v>138003020</v>
      </c>
      <c r="J171" s="143">
        <f>+I171/F171</f>
        <v>0.66921554621583867</v>
      </c>
      <c r="K171" s="80">
        <f>+agt!M171</f>
        <v>124956770</v>
      </c>
      <c r="L171" s="79">
        <v>0</v>
      </c>
      <c r="M171" s="80">
        <f>+K171+L171</f>
        <v>124956770</v>
      </c>
      <c r="N171" s="171">
        <f>+M171/F171</f>
        <v>0.60595060230505771</v>
      </c>
      <c r="O171" s="15">
        <f>+F171-M171</f>
        <v>81259330</v>
      </c>
      <c r="P171" s="77"/>
      <c r="Q171" s="6" t="str">
        <f t="shared" ref="Q171" si="96">IF(M171&lt;=I171,"OKE","Salah")</f>
        <v>OKE</v>
      </c>
      <c r="R171" s="6"/>
    </row>
    <row r="172" spans="1:18" ht="15.75" customHeight="1" x14ac:dyDescent="0.2">
      <c r="A172" s="74"/>
      <c r="B172" s="95"/>
      <c r="C172" s="27"/>
      <c r="D172" s="13"/>
      <c r="E172" s="14"/>
      <c r="F172" s="13"/>
      <c r="G172" s="78"/>
      <c r="H172" s="79"/>
      <c r="I172" s="15"/>
      <c r="J172" s="143"/>
      <c r="K172" s="80"/>
      <c r="L172" s="80"/>
      <c r="M172" s="80"/>
      <c r="N172" s="171"/>
      <c r="O172" s="15"/>
      <c r="P172" s="77"/>
      <c r="Q172" s="6"/>
      <c r="R172" s="6"/>
    </row>
    <row r="173" spans="1:18" ht="14.1" customHeight="1" x14ac:dyDescent="0.2">
      <c r="A173" s="74">
        <v>2</v>
      </c>
      <c r="B173" s="95" t="s">
        <v>217</v>
      </c>
      <c r="C173" s="27" t="s">
        <v>216</v>
      </c>
      <c r="D173" s="13">
        <v>615087000</v>
      </c>
      <c r="E173" s="14"/>
      <c r="F173" s="13">
        <f>E173+D173</f>
        <v>615087000</v>
      </c>
      <c r="G173" s="80">
        <f>+agt!I173</f>
        <v>373179050</v>
      </c>
      <c r="H173" s="79">
        <f>4900000+9800000+12740000</f>
        <v>27440000</v>
      </c>
      <c r="I173" s="15">
        <f>H173+G173</f>
        <v>400619050</v>
      </c>
      <c r="J173" s="143">
        <f>+I173/F173</f>
        <v>0.65132095134509427</v>
      </c>
      <c r="K173" s="80">
        <f>+agt!M173</f>
        <v>373169000</v>
      </c>
      <c r="L173" s="80">
        <f>4900000+9800000</f>
        <v>14700000</v>
      </c>
      <c r="M173" s="80">
        <f>+K173+L173</f>
        <v>387869000</v>
      </c>
      <c r="N173" s="171">
        <f>+M173/F173</f>
        <v>0.63059209510199365</v>
      </c>
      <c r="O173" s="15">
        <f>+F173-M173</f>
        <v>227218000</v>
      </c>
      <c r="P173" s="77"/>
      <c r="Q173" s="6" t="str">
        <f t="shared" ref="Q173" si="97">IF(M173&lt;=I173,"OKE","Salah")</f>
        <v>OKE</v>
      </c>
      <c r="R173" s="6"/>
    </row>
    <row r="174" spans="1:18" ht="17.25" customHeight="1" x14ac:dyDescent="0.2">
      <c r="A174" s="74"/>
      <c r="B174" s="95"/>
      <c r="C174" s="27"/>
      <c r="D174" s="13"/>
      <c r="E174" s="14"/>
      <c r="F174" s="13"/>
      <c r="G174" s="78"/>
      <c r="H174" s="79"/>
      <c r="I174" s="15"/>
      <c r="J174" s="143"/>
      <c r="K174" s="80"/>
      <c r="L174" s="80"/>
      <c r="M174" s="80"/>
      <c r="N174" s="171"/>
      <c r="O174" s="15"/>
      <c r="P174" s="77"/>
      <c r="Q174" s="6"/>
      <c r="R174" s="6"/>
    </row>
    <row r="175" spans="1:18" ht="14.1" customHeight="1" x14ac:dyDescent="0.2">
      <c r="A175" s="74">
        <v>3</v>
      </c>
      <c r="B175" s="95" t="s">
        <v>219</v>
      </c>
      <c r="C175" s="27" t="s">
        <v>218</v>
      </c>
      <c r="D175" s="13">
        <v>257443800</v>
      </c>
      <c r="E175" s="14"/>
      <c r="F175" s="13">
        <f>E175+D175</f>
        <v>257443800</v>
      </c>
      <c r="G175" s="80">
        <f>+agt!I175</f>
        <v>120163900</v>
      </c>
      <c r="H175" s="79">
        <v>10675200</v>
      </c>
      <c r="I175" s="15">
        <f>H175+G175</f>
        <v>130839100</v>
      </c>
      <c r="J175" s="143">
        <f>+I175/F175</f>
        <v>0.50822393081519146</v>
      </c>
      <c r="K175" s="80">
        <f>+agt!M175</f>
        <v>120163900</v>
      </c>
      <c r="L175" s="80">
        <v>0</v>
      </c>
      <c r="M175" s="80">
        <f>+K175+L175</f>
        <v>120163900</v>
      </c>
      <c r="N175" s="171">
        <f>+M175/F175</f>
        <v>0.46675779335140327</v>
      </c>
      <c r="O175" s="15">
        <f>+F175-M175</f>
        <v>137279900</v>
      </c>
      <c r="P175" s="77"/>
      <c r="Q175" s="6" t="str">
        <f t="shared" ref="Q175" si="98">IF(M175&lt;=I175,"OKE","Salah")</f>
        <v>OKE</v>
      </c>
      <c r="R175" s="6"/>
    </row>
    <row r="176" spans="1:18" ht="17.25" customHeight="1" x14ac:dyDescent="0.2">
      <c r="A176" s="74"/>
      <c r="B176" s="95"/>
      <c r="C176" s="27"/>
      <c r="D176" s="13"/>
      <c r="E176" s="14"/>
      <c r="F176" s="13"/>
      <c r="G176" s="78"/>
      <c r="H176" s="79"/>
      <c r="I176" s="15"/>
      <c r="J176" s="143"/>
      <c r="K176" s="80"/>
      <c r="L176" s="80"/>
      <c r="M176" s="80"/>
      <c r="N176" s="171"/>
      <c r="O176" s="15"/>
      <c r="P176" s="77"/>
      <c r="Q176" s="6"/>
      <c r="R176" s="6"/>
    </row>
    <row r="177" spans="1:18" ht="27.75" customHeight="1" x14ac:dyDescent="0.2">
      <c r="A177" s="205">
        <v>4</v>
      </c>
      <c r="B177" s="220" t="s">
        <v>221</v>
      </c>
      <c r="C177" s="219" t="s">
        <v>220</v>
      </c>
      <c r="D177" s="213">
        <v>110362500</v>
      </c>
      <c r="E177" s="14"/>
      <c r="F177" s="13">
        <f>E177+D177</f>
        <v>110362500</v>
      </c>
      <c r="G177" s="80">
        <f>+agt!I177</f>
        <v>48549500</v>
      </c>
      <c r="H177" s="79">
        <v>9280000</v>
      </c>
      <c r="I177" s="15">
        <f>H177+G177</f>
        <v>57829500</v>
      </c>
      <c r="J177" s="143">
        <f>+I177/F177</f>
        <v>0.52399592252803262</v>
      </c>
      <c r="K177" s="80">
        <f>+agt!M177</f>
        <v>48549500</v>
      </c>
      <c r="L177" s="80">
        <v>0</v>
      </c>
      <c r="M177" s="80">
        <f>+K177+L177</f>
        <v>48549500</v>
      </c>
      <c r="N177" s="171">
        <f>+M177/F177</f>
        <v>0.439909389511836</v>
      </c>
      <c r="O177" s="15">
        <f>+F177-M177</f>
        <v>61813000</v>
      </c>
      <c r="P177" s="77"/>
      <c r="Q177" s="6" t="str">
        <f t="shared" ref="Q177" si="99">IF(M177&lt;=I177,"OKE","Salah")</f>
        <v>OKE</v>
      </c>
      <c r="R177" s="6"/>
    </row>
    <row r="178" spans="1:18" ht="14.1" customHeight="1" x14ac:dyDescent="0.2">
      <c r="A178" s="139"/>
      <c r="B178" s="139"/>
      <c r="C178" s="140"/>
      <c r="D178" s="142"/>
      <c r="E178" s="142"/>
      <c r="F178" s="142"/>
      <c r="G178" s="188"/>
      <c r="H178" s="246"/>
      <c r="I178" s="188"/>
      <c r="J178" s="247"/>
      <c r="K178" s="188"/>
      <c r="L178" s="245"/>
      <c r="M178" s="245"/>
      <c r="N178" s="247"/>
      <c r="O178" s="141"/>
      <c r="P178" s="77"/>
      <c r="Q178" s="6"/>
      <c r="R178" s="6"/>
    </row>
    <row r="179" spans="1:18" ht="14.1" customHeight="1" x14ac:dyDescent="0.2">
      <c r="A179" s="388"/>
      <c r="B179" s="388"/>
      <c r="C179" s="395" t="s">
        <v>72</v>
      </c>
      <c r="D179" s="364">
        <f>SUM(D171:D177)</f>
        <v>1189109400</v>
      </c>
      <c r="E179" s="364">
        <f>SUM(E171:E177)</f>
        <v>0</v>
      </c>
      <c r="F179" s="364">
        <f>SUM(F171:F177)</f>
        <v>1189109400</v>
      </c>
      <c r="G179" s="364">
        <f>SUM(G171:G177)</f>
        <v>666849220</v>
      </c>
      <c r="H179" s="364">
        <f>SUM(H171:H177)</f>
        <v>60441450</v>
      </c>
      <c r="I179" s="364">
        <f>G179+H179</f>
        <v>727290670</v>
      </c>
      <c r="J179" s="368">
        <f>+I179/F179</f>
        <v>0.61162637348590465</v>
      </c>
      <c r="K179" s="364">
        <f>SUM(K171:K177)</f>
        <v>666839170</v>
      </c>
      <c r="L179" s="364">
        <f>SUM(L171:L177)</f>
        <v>14700000</v>
      </c>
      <c r="M179" s="364">
        <f>+K179+L179</f>
        <v>681539170</v>
      </c>
      <c r="N179" s="366">
        <f>+M179/F179</f>
        <v>0.57315093968645781</v>
      </c>
      <c r="O179" s="364">
        <f>+F179-M179</f>
        <v>507570230</v>
      </c>
      <c r="P179" s="77"/>
      <c r="Q179" s="6" t="str">
        <f t="shared" ref="Q179:Q226" si="100">IF(M179&lt;=I179,"OKE","Salah")</f>
        <v>OKE</v>
      </c>
      <c r="R179" s="6"/>
    </row>
    <row r="180" spans="1:18" ht="14.1" customHeight="1" x14ac:dyDescent="0.2">
      <c r="A180" s="389"/>
      <c r="B180" s="389"/>
      <c r="C180" s="396"/>
      <c r="D180" s="365"/>
      <c r="E180" s="365"/>
      <c r="F180" s="365"/>
      <c r="G180" s="365"/>
      <c r="H180" s="365"/>
      <c r="I180" s="396"/>
      <c r="J180" s="369"/>
      <c r="K180" s="365"/>
      <c r="L180" s="365"/>
      <c r="M180" s="365"/>
      <c r="N180" s="367"/>
      <c r="O180" s="365"/>
      <c r="P180" s="77"/>
      <c r="Q180" s="6" t="str">
        <f t="shared" si="100"/>
        <v>OKE</v>
      </c>
      <c r="R180" s="6"/>
    </row>
    <row r="181" spans="1:18" ht="14.45" customHeight="1" x14ac:dyDescent="0.2">
      <c r="A181" s="74"/>
      <c r="B181" s="76"/>
      <c r="C181" s="76"/>
      <c r="D181" s="8"/>
      <c r="E181" s="8"/>
      <c r="F181" s="8"/>
      <c r="G181" s="76"/>
      <c r="H181" s="82"/>
      <c r="I181" s="76"/>
      <c r="J181" s="86"/>
      <c r="K181" s="76"/>
      <c r="L181" s="76"/>
      <c r="M181" s="76"/>
      <c r="N181" s="248"/>
      <c r="O181" s="241"/>
      <c r="P181" s="77"/>
      <c r="Q181" s="6"/>
      <c r="R181" s="6"/>
    </row>
    <row r="182" spans="1:18" ht="17.100000000000001" customHeight="1" x14ac:dyDescent="0.2">
      <c r="A182" s="74"/>
      <c r="B182" s="76"/>
      <c r="C182" s="244" t="s">
        <v>73</v>
      </c>
      <c r="D182" s="8"/>
      <c r="E182" s="8"/>
      <c r="F182" s="8"/>
      <c r="G182" s="76"/>
      <c r="H182" s="82"/>
      <c r="I182" s="76"/>
      <c r="J182" s="86"/>
      <c r="K182" s="76"/>
      <c r="L182" s="76"/>
      <c r="M182" s="76"/>
      <c r="N182" s="86"/>
      <c r="O182" s="76"/>
      <c r="P182" s="77"/>
      <c r="Q182" s="6"/>
      <c r="R182" s="6"/>
    </row>
    <row r="183" spans="1:18" ht="14.25" customHeight="1" x14ac:dyDescent="0.2">
      <c r="A183" s="74"/>
      <c r="B183" s="76"/>
      <c r="C183" s="76"/>
      <c r="D183" s="8"/>
      <c r="E183" s="8"/>
      <c r="F183" s="8"/>
      <c r="G183" s="76"/>
      <c r="H183" s="82"/>
      <c r="I183" s="76"/>
      <c r="J183" s="86"/>
      <c r="K183" s="76"/>
      <c r="L183" s="76"/>
      <c r="M183" s="76"/>
      <c r="N183" s="86"/>
      <c r="O183" s="76"/>
      <c r="P183" s="77"/>
      <c r="Q183" s="6"/>
      <c r="R183" s="6"/>
    </row>
    <row r="184" spans="1:18" ht="27" customHeight="1" x14ac:dyDescent="0.2">
      <c r="A184" s="7"/>
      <c r="B184" s="206" t="s">
        <v>154</v>
      </c>
      <c r="C184" s="201" t="s">
        <v>153</v>
      </c>
      <c r="D184" s="10">
        <f>+D192+D200+D220+D228+D244+D186+D238</f>
        <v>12324425000</v>
      </c>
      <c r="E184" s="10">
        <f>+E192+E200+E220+E228+E244</f>
        <v>0</v>
      </c>
      <c r="F184" s="10">
        <f>+D184+E184</f>
        <v>12324425000</v>
      </c>
      <c r="G184" s="312">
        <f>+G192+G200+G220+G228+G238+G244</f>
        <v>8206038830</v>
      </c>
      <c r="H184" s="10">
        <f>+H192+H200+H220+H228+H238+H244</f>
        <v>437443662</v>
      </c>
      <c r="I184" s="10">
        <f>+G184+H184</f>
        <v>8643482492</v>
      </c>
      <c r="J184" s="168">
        <f>+I184/F184</f>
        <v>0.70132947313972049</v>
      </c>
      <c r="K184" s="312">
        <f>+K186+K192+K200+K214+K220+K228+K238+K244</f>
        <v>8327852049</v>
      </c>
      <c r="L184" s="312">
        <f>+L186+L192+L200+L214+L220+L228+L238+L244</f>
        <v>531043662</v>
      </c>
      <c r="M184" s="10">
        <f>+K184+L184</f>
        <v>8858895711</v>
      </c>
      <c r="N184" s="169">
        <f>+M184/F184</f>
        <v>0.7188080345330512</v>
      </c>
      <c r="O184" s="10">
        <f>+F184-M184</f>
        <v>3465529289</v>
      </c>
      <c r="P184" s="77"/>
      <c r="Q184" s="6" t="str">
        <f t="shared" ref="Q184:Q192" si="101">IF(M184&lt;=I184,"OKE","Salah")</f>
        <v>Salah</v>
      </c>
      <c r="R184" s="6"/>
    </row>
    <row r="185" spans="1:18" ht="15" customHeight="1" x14ac:dyDescent="0.2">
      <c r="A185" s="7"/>
      <c r="B185" s="206"/>
      <c r="C185" s="305"/>
      <c r="D185" s="10"/>
      <c r="E185" s="296"/>
      <c r="F185" s="10"/>
      <c r="G185" s="10"/>
      <c r="H185" s="10"/>
      <c r="I185" s="10"/>
      <c r="J185" s="168"/>
      <c r="K185" s="10"/>
      <c r="L185" s="10"/>
      <c r="M185" s="10"/>
      <c r="N185" s="169"/>
      <c r="O185" s="10"/>
      <c r="P185" s="77"/>
      <c r="Q185" s="6"/>
      <c r="R185" s="6"/>
    </row>
    <row r="186" spans="1:18" ht="29.25" customHeight="1" x14ac:dyDescent="0.2">
      <c r="A186" s="74"/>
      <c r="B186" s="214" t="s">
        <v>199</v>
      </c>
      <c r="C186" s="301" t="s">
        <v>198</v>
      </c>
      <c r="D186" s="178">
        <f>+D188</f>
        <v>144000000</v>
      </c>
      <c r="E186" s="14"/>
      <c r="F186" s="178">
        <f>E186+D186</f>
        <v>144000000</v>
      </c>
      <c r="G186" s="178">
        <f>+G188</f>
        <v>136000000</v>
      </c>
      <c r="H186" s="178">
        <f>+H188</f>
        <v>0</v>
      </c>
      <c r="I186" s="15">
        <f>+G186+H186</f>
        <v>136000000</v>
      </c>
      <c r="J186" s="143">
        <f>+I186/F186</f>
        <v>0.94444444444444442</v>
      </c>
      <c r="K186" s="178">
        <f t="shared" ref="K186:L186" si="102">+K188</f>
        <v>136000000</v>
      </c>
      <c r="L186" s="178">
        <f t="shared" si="102"/>
        <v>0</v>
      </c>
      <c r="M186" s="80">
        <f>+K186+L186</f>
        <v>136000000</v>
      </c>
      <c r="N186" s="171">
        <f>+M186/D186</f>
        <v>0.94444444444444442</v>
      </c>
      <c r="O186" s="15">
        <f>+F186-M186</f>
        <v>8000000</v>
      </c>
      <c r="P186" s="83"/>
      <c r="Q186" s="6" t="str">
        <f t="shared" ref="Q186" si="103">IF(M186&lt;=I186,"OKE","Salah")</f>
        <v>OKE</v>
      </c>
      <c r="R186" s="6"/>
    </row>
    <row r="187" spans="1:18" ht="15" customHeight="1" x14ac:dyDescent="0.2">
      <c r="A187" s="74"/>
      <c r="B187" s="74"/>
      <c r="C187" s="76"/>
      <c r="D187" s="15"/>
      <c r="E187" s="15"/>
      <c r="F187" s="15"/>
      <c r="G187" s="80"/>
      <c r="H187" s="79"/>
      <c r="I187" s="80"/>
      <c r="J187" s="86"/>
      <c r="K187" s="80"/>
      <c r="L187" s="76"/>
      <c r="M187" s="76"/>
      <c r="N187" s="86"/>
      <c r="O187" s="10"/>
      <c r="P187" s="83"/>
      <c r="Q187" s="6"/>
      <c r="R187" s="6"/>
    </row>
    <row r="188" spans="1:18" ht="21" customHeight="1" x14ac:dyDescent="0.2">
      <c r="A188" s="74">
        <v>1</v>
      </c>
      <c r="B188" s="29" t="s">
        <v>201</v>
      </c>
      <c r="C188" s="27" t="s">
        <v>200</v>
      </c>
      <c r="D188" s="13">
        <v>144000000</v>
      </c>
      <c r="E188" s="14"/>
      <c r="F188" s="13">
        <f>E188+D188</f>
        <v>144000000</v>
      </c>
      <c r="G188" s="80">
        <f>+agt!I188</f>
        <v>136000000</v>
      </c>
      <c r="H188" s="79">
        <v>0</v>
      </c>
      <c r="I188" s="15">
        <f>+G188+H188</f>
        <v>136000000</v>
      </c>
      <c r="J188" s="143">
        <f>+I188/F188</f>
        <v>0.94444444444444442</v>
      </c>
      <c r="K188" s="80">
        <f>+agt!M188</f>
        <v>136000000</v>
      </c>
      <c r="L188" s="80">
        <v>0</v>
      </c>
      <c r="M188" s="80">
        <f>+K188+L188</f>
        <v>136000000</v>
      </c>
      <c r="N188" s="171">
        <f>+M188/D188</f>
        <v>0.94444444444444442</v>
      </c>
      <c r="O188" s="15">
        <f t="shared" ref="O188" si="104">+D188-M188</f>
        <v>8000000</v>
      </c>
      <c r="P188" s="83"/>
      <c r="Q188" s="6" t="str">
        <f t="shared" ref="Q188" si="105">IF(M188&lt;=I188,"OKE","Salah")</f>
        <v>OKE</v>
      </c>
      <c r="R188" s="6"/>
    </row>
    <row r="189" spans="1:18" ht="15" customHeight="1" x14ac:dyDescent="0.2">
      <c r="A189" s="74"/>
      <c r="B189" s="29"/>
      <c r="C189" s="27"/>
      <c r="D189" s="13"/>
      <c r="E189" s="14"/>
      <c r="F189" s="13"/>
      <c r="G189" s="78"/>
      <c r="H189" s="79"/>
      <c r="I189" s="15"/>
      <c r="J189" s="143"/>
      <c r="K189" s="78"/>
      <c r="L189" s="80"/>
      <c r="M189" s="80"/>
      <c r="N189" s="171"/>
      <c r="O189" s="15"/>
      <c r="P189" s="83"/>
      <c r="Q189" s="6"/>
      <c r="R189" s="6"/>
    </row>
    <row r="190" spans="1:18" ht="21" customHeight="1" x14ac:dyDescent="0.2">
      <c r="A190" s="139"/>
      <c r="B190" s="222"/>
      <c r="C190" s="223" t="s">
        <v>171</v>
      </c>
      <c r="D190" s="224">
        <f>+D188</f>
        <v>144000000</v>
      </c>
      <c r="E190" s="225"/>
      <c r="F190" s="224">
        <f>+F188</f>
        <v>144000000</v>
      </c>
      <c r="G190" s="224">
        <f>+G188</f>
        <v>136000000</v>
      </c>
      <c r="H190" s="224">
        <f>+H188</f>
        <v>0</v>
      </c>
      <c r="I190" s="141">
        <f>+G190+H190</f>
        <v>136000000</v>
      </c>
      <c r="J190" s="176">
        <f>+I190/F190</f>
        <v>0.94444444444444442</v>
      </c>
      <c r="K190" s="224">
        <f t="shared" ref="K190:L190" si="106">+K188</f>
        <v>136000000</v>
      </c>
      <c r="L190" s="224">
        <f t="shared" si="106"/>
        <v>0</v>
      </c>
      <c r="M190" s="232">
        <f>+K190+L190</f>
        <v>136000000</v>
      </c>
      <c r="N190" s="173"/>
      <c r="O190" s="141"/>
      <c r="P190" s="208"/>
      <c r="Q190" s="6"/>
      <c r="R190" s="6"/>
    </row>
    <row r="191" spans="1:18" ht="15" customHeight="1" x14ac:dyDescent="0.2">
      <c r="A191" s="7"/>
      <c r="B191" s="206"/>
      <c r="C191" s="305"/>
      <c r="D191" s="10"/>
      <c r="E191" s="296"/>
      <c r="F191" s="10"/>
      <c r="G191" s="10"/>
      <c r="H191" s="10"/>
      <c r="I191" s="10"/>
      <c r="J191" s="168"/>
      <c r="K191" s="10"/>
      <c r="L191" s="10"/>
      <c r="M191" s="10"/>
      <c r="N191" s="169"/>
      <c r="O191" s="10"/>
      <c r="P191" s="77"/>
      <c r="Q191" s="6"/>
      <c r="R191" s="6"/>
    </row>
    <row r="192" spans="1:18" ht="15" customHeight="1" x14ac:dyDescent="0.2">
      <c r="A192" s="212"/>
      <c r="B192" s="7" t="s">
        <v>160</v>
      </c>
      <c r="C192" s="208" t="s">
        <v>315</v>
      </c>
      <c r="D192" s="178">
        <f>+D194+D196</f>
        <v>164975000</v>
      </c>
      <c r="E192" s="221"/>
      <c r="F192" s="178">
        <f>+D192+E192</f>
        <v>164975000</v>
      </c>
      <c r="G192" s="178">
        <f t="shared" ref="G192:H192" si="107">+G194+G196</f>
        <v>128655000</v>
      </c>
      <c r="H192" s="178">
        <f t="shared" si="107"/>
        <v>0</v>
      </c>
      <c r="I192" s="10">
        <f>+G192+H192</f>
        <v>128655000</v>
      </c>
      <c r="J192" s="168">
        <f>+I192/F192</f>
        <v>0.77984543112592819</v>
      </c>
      <c r="K192" s="178">
        <f t="shared" ref="K192:L192" si="108">+K194+K196</f>
        <v>128655000</v>
      </c>
      <c r="L192" s="178">
        <f t="shared" si="108"/>
        <v>0</v>
      </c>
      <c r="M192" s="10">
        <f>+K192+L192</f>
        <v>128655000</v>
      </c>
      <c r="N192" s="169">
        <f>+M192/F192</f>
        <v>0.77984543112592819</v>
      </c>
      <c r="O192" s="10">
        <f>+F192-M192</f>
        <v>36320000</v>
      </c>
      <c r="P192" s="77"/>
      <c r="Q192" s="6" t="str">
        <f t="shared" si="101"/>
        <v>OKE</v>
      </c>
      <c r="R192" s="6"/>
    </row>
    <row r="193" spans="1:19" ht="15" customHeight="1" x14ac:dyDescent="0.2">
      <c r="A193" s="74"/>
      <c r="B193" s="74"/>
      <c r="C193" s="76"/>
      <c r="D193" s="15"/>
      <c r="E193" s="17"/>
      <c r="F193" s="15"/>
      <c r="G193" s="78"/>
      <c r="H193" s="79"/>
      <c r="I193" s="80"/>
      <c r="J193" s="86"/>
      <c r="K193" s="78"/>
      <c r="L193" s="76"/>
      <c r="M193" s="76"/>
      <c r="N193" s="86"/>
      <c r="O193" s="10"/>
      <c r="P193" s="77"/>
      <c r="Q193" s="6"/>
      <c r="R193" s="6"/>
    </row>
    <row r="194" spans="1:19" ht="26.25" customHeight="1" x14ac:dyDescent="0.2">
      <c r="A194" s="74">
        <v>2</v>
      </c>
      <c r="B194" s="28" t="s">
        <v>164</v>
      </c>
      <c r="C194" s="304" t="s">
        <v>316</v>
      </c>
      <c r="D194" s="13">
        <v>139975000</v>
      </c>
      <c r="E194" s="14"/>
      <c r="F194" s="13">
        <f>+D194+E194</f>
        <v>139975000</v>
      </c>
      <c r="G194" s="80">
        <f>+agt!I194</f>
        <v>126405000</v>
      </c>
      <c r="H194" s="79">
        <v>0</v>
      </c>
      <c r="I194" s="15">
        <f>+G194+H194</f>
        <v>126405000</v>
      </c>
      <c r="J194" s="143">
        <f>+I194/F194</f>
        <v>0.90305411680657255</v>
      </c>
      <c r="K194" s="80">
        <f>+agt!M194</f>
        <v>126405000</v>
      </c>
      <c r="L194" s="80">
        <v>0</v>
      </c>
      <c r="M194" s="80">
        <f>+K194+L194</f>
        <v>126405000</v>
      </c>
      <c r="N194" s="171">
        <f>+M194/F194</f>
        <v>0.90305411680657255</v>
      </c>
      <c r="O194" s="15">
        <f>+F194-M194</f>
        <v>13570000</v>
      </c>
      <c r="P194" s="77"/>
      <c r="Q194" s="6" t="str">
        <f t="shared" ref="Q194" si="109">IF(M194&lt;=I194,"OKE","Salah")</f>
        <v>OKE</v>
      </c>
      <c r="R194" s="6"/>
    </row>
    <row r="195" spans="1:19" ht="15" customHeight="1" x14ac:dyDescent="0.2">
      <c r="A195" s="74"/>
      <c r="B195" s="74"/>
      <c r="C195" s="83"/>
      <c r="D195" s="15"/>
      <c r="E195" s="17"/>
      <c r="F195" s="15"/>
      <c r="G195" s="78"/>
      <c r="H195" s="79"/>
      <c r="I195" s="80"/>
      <c r="J195" s="86"/>
      <c r="K195" s="78"/>
      <c r="L195" s="76"/>
      <c r="M195" s="76"/>
      <c r="N195" s="86"/>
      <c r="O195" s="10"/>
      <c r="P195" s="77"/>
      <c r="Q195" s="6"/>
      <c r="R195" s="6"/>
    </row>
    <row r="196" spans="1:19" ht="26.25" customHeight="1" x14ac:dyDescent="0.2">
      <c r="A196" s="74">
        <v>3</v>
      </c>
      <c r="B196" s="28" t="s">
        <v>165</v>
      </c>
      <c r="C196" s="304" t="s">
        <v>317</v>
      </c>
      <c r="D196" s="13">
        <v>25000000</v>
      </c>
      <c r="E196" s="14"/>
      <c r="F196" s="13">
        <f>+D196+E196</f>
        <v>25000000</v>
      </c>
      <c r="G196" s="80">
        <f>+agt!I196</f>
        <v>2250000</v>
      </c>
      <c r="H196" s="79">
        <v>0</v>
      </c>
      <c r="I196" s="15">
        <f>+G196+H196</f>
        <v>2250000</v>
      </c>
      <c r="J196" s="143">
        <f>+I196/F196</f>
        <v>0.09</v>
      </c>
      <c r="K196" s="80">
        <f>+agt!M196</f>
        <v>2250000</v>
      </c>
      <c r="L196" s="80">
        <v>0</v>
      </c>
      <c r="M196" s="80">
        <f>+K196+L196</f>
        <v>2250000</v>
      </c>
      <c r="N196" s="171">
        <f>+M196/F196</f>
        <v>0.09</v>
      </c>
      <c r="O196" s="15">
        <f>+F196-M196</f>
        <v>22750000</v>
      </c>
      <c r="P196" s="77"/>
      <c r="Q196" s="6" t="str">
        <f t="shared" ref="Q196" si="110">IF(M196&lt;=I196,"OKE","Salah")</f>
        <v>OKE</v>
      </c>
      <c r="R196" s="6"/>
    </row>
    <row r="197" spans="1:19" ht="15" customHeight="1" x14ac:dyDescent="0.2">
      <c r="A197" s="74"/>
      <c r="B197" s="28"/>
      <c r="C197" s="304"/>
      <c r="D197" s="13"/>
      <c r="E197" s="14"/>
      <c r="F197" s="13"/>
      <c r="G197" s="78"/>
      <c r="H197" s="79"/>
      <c r="I197" s="15"/>
      <c r="J197" s="143"/>
      <c r="K197" s="78"/>
      <c r="L197" s="80"/>
      <c r="M197" s="80"/>
      <c r="N197" s="171"/>
      <c r="O197" s="15"/>
      <c r="P197" s="77"/>
      <c r="Q197" s="6"/>
      <c r="R197" s="6"/>
    </row>
    <row r="198" spans="1:19" ht="24" customHeight="1" x14ac:dyDescent="0.2">
      <c r="A198" s="81"/>
      <c r="B198" s="81"/>
      <c r="C198" s="23" t="s">
        <v>172</v>
      </c>
      <c r="D198" s="24">
        <f>+D194+D196</f>
        <v>164975000</v>
      </c>
      <c r="E198" s="24">
        <f t="shared" ref="E198" si="111">+E194+E196</f>
        <v>0</v>
      </c>
      <c r="F198" s="24">
        <f>+D198+E198</f>
        <v>164975000</v>
      </c>
      <c r="G198" s="24">
        <f t="shared" ref="G198:H198" si="112">+G194+G196</f>
        <v>128655000</v>
      </c>
      <c r="H198" s="24">
        <f t="shared" si="112"/>
        <v>0</v>
      </c>
      <c r="I198" s="24">
        <f>+G198+H198</f>
        <v>128655000</v>
      </c>
      <c r="J198" s="175">
        <f>+I198/F198</f>
        <v>0.77984543112592819</v>
      </c>
      <c r="K198" s="24">
        <f t="shared" ref="K198:L198" si="113">+K194+K196</f>
        <v>128655000</v>
      </c>
      <c r="L198" s="24">
        <f t="shared" si="113"/>
        <v>0</v>
      </c>
      <c r="M198" s="24">
        <f>+K198+L198</f>
        <v>128655000</v>
      </c>
      <c r="N198" s="172">
        <f>+M198/F198</f>
        <v>0.77984543112592819</v>
      </c>
      <c r="O198" s="24">
        <f>+F198-M198</f>
        <v>36320000</v>
      </c>
      <c r="P198" s="77"/>
      <c r="Q198" s="6" t="str">
        <f t="shared" ref="Q198" si="114">IF(M198&lt;=I198,"OKE","Salah")</f>
        <v>OKE</v>
      </c>
      <c r="R198" s="6"/>
    </row>
    <row r="199" spans="1:19" ht="14.1" customHeight="1" x14ac:dyDescent="0.2">
      <c r="A199" s="74"/>
      <c r="B199" s="28"/>
      <c r="C199" s="83"/>
      <c r="D199" s="13"/>
      <c r="E199" s="14"/>
      <c r="F199" s="183"/>
      <c r="G199" s="78"/>
      <c r="H199" s="79"/>
      <c r="I199" s="15"/>
      <c r="J199" s="143"/>
      <c r="K199" s="78"/>
      <c r="L199" s="80"/>
      <c r="M199" s="80"/>
      <c r="N199" s="171"/>
      <c r="O199" s="15"/>
      <c r="P199" s="77"/>
      <c r="Q199" s="6"/>
      <c r="R199" s="6"/>
    </row>
    <row r="200" spans="1:19" s="77" customFormat="1" ht="14.1" customHeight="1" x14ac:dyDescent="0.2">
      <c r="A200" s="212"/>
      <c r="B200" s="7" t="s">
        <v>160</v>
      </c>
      <c r="C200" s="208" t="s">
        <v>159</v>
      </c>
      <c r="D200" s="178">
        <f>SUM(D202:D210)</f>
        <v>5266450000</v>
      </c>
      <c r="E200" s="221"/>
      <c r="F200" s="178">
        <f>+D200+E200</f>
        <v>5266450000</v>
      </c>
      <c r="G200" s="314">
        <f>SUM(G202:G210)</f>
        <v>4297332250</v>
      </c>
      <c r="H200" s="178">
        <f>SUM(H202:H210)</f>
        <v>0</v>
      </c>
      <c r="I200" s="10">
        <f>+G200+H200</f>
        <v>4297332250</v>
      </c>
      <c r="J200" s="168">
        <f>+I200/F200</f>
        <v>0.81598273030219592</v>
      </c>
      <c r="K200" s="314">
        <f>SUM(K202:K210)</f>
        <v>4297260250</v>
      </c>
      <c r="L200" s="178">
        <f>SUM(L202:L210)</f>
        <v>0</v>
      </c>
      <c r="M200" s="10">
        <f>+K200+L200</f>
        <v>4297260250</v>
      </c>
      <c r="N200" s="169">
        <f>+M200/F200</f>
        <v>0.81596905885368698</v>
      </c>
      <c r="O200" s="10">
        <f>+F200-M200</f>
        <v>969189750</v>
      </c>
      <c r="Q200" s="6" t="str">
        <f t="shared" si="100"/>
        <v>OKE</v>
      </c>
      <c r="R200" s="6"/>
      <c r="S200" s="69"/>
    </row>
    <row r="201" spans="1:19" s="77" customFormat="1" ht="14.1" customHeight="1" x14ac:dyDescent="0.2">
      <c r="A201" s="74"/>
      <c r="B201" s="74"/>
      <c r="C201" s="76"/>
      <c r="D201" s="15"/>
      <c r="E201" s="17"/>
      <c r="F201" s="15"/>
      <c r="G201" s="78"/>
      <c r="H201" s="79"/>
      <c r="I201" s="80"/>
      <c r="J201" s="86"/>
      <c r="K201" s="78"/>
      <c r="L201" s="76"/>
      <c r="M201" s="76"/>
      <c r="N201" s="86"/>
      <c r="O201" s="10"/>
      <c r="Q201" s="6"/>
      <c r="R201" s="6"/>
      <c r="S201" s="69"/>
    </row>
    <row r="202" spans="1:19" s="77" customFormat="1" ht="15" customHeight="1" x14ac:dyDescent="0.2">
      <c r="A202" s="74">
        <v>4</v>
      </c>
      <c r="B202" s="28" t="s">
        <v>164</v>
      </c>
      <c r="C202" s="83" t="s">
        <v>161</v>
      </c>
      <c r="D202" s="13">
        <v>1660000000</v>
      </c>
      <c r="E202" s="14"/>
      <c r="F202" s="13">
        <f>+D202+E202</f>
        <v>1660000000</v>
      </c>
      <c r="G202" s="315">
        <f>+agt!I202</f>
        <v>1364023900</v>
      </c>
      <c r="H202" s="80">
        <v>0</v>
      </c>
      <c r="I202" s="15">
        <f>+G202+H202</f>
        <v>1364023900</v>
      </c>
      <c r="J202" s="143">
        <f>+I202/F202</f>
        <v>0.82170114457831323</v>
      </c>
      <c r="K202" s="315">
        <f>+agt!M202</f>
        <v>1364023900</v>
      </c>
      <c r="L202" s="80">
        <v>0</v>
      </c>
      <c r="M202" s="80">
        <f>+K202+L202</f>
        <v>1364023900</v>
      </c>
      <c r="N202" s="171">
        <f>+M202/F202</f>
        <v>0.82170114457831323</v>
      </c>
      <c r="O202" s="15">
        <f>+F202-M202</f>
        <v>295976100</v>
      </c>
      <c r="Q202" s="6" t="str">
        <f t="shared" si="100"/>
        <v>OKE</v>
      </c>
      <c r="R202" s="6"/>
      <c r="S202" s="68"/>
    </row>
    <row r="203" spans="1:19" s="77" customFormat="1" ht="14.1" customHeight="1" x14ac:dyDescent="0.2">
      <c r="A203" s="74"/>
      <c r="B203" s="74"/>
      <c r="C203" s="83"/>
      <c r="D203" s="15"/>
      <c r="E203" s="17"/>
      <c r="F203" s="15"/>
      <c r="G203" s="78"/>
      <c r="H203" s="79"/>
      <c r="I203" s="15">
        <f>+G203+H203</f>
        <v>0</v>
      </c>
      <c r="J203" s="86"/>
      <c r="K203" s="78"/>
      <c r="L203" s="76"/>
      <c r="M203" s="76"/>
      <c r="N203" s="86"/>
      <c r="O203" s="10"/>
      <c r="Q203" s="6"/>
      <c r="R203" s="6"/>
      <c r="S203" s="68"/>
    </row>
    <row r="204" spans="1:19" s="77" customFormat="1" ht="15.75" customHeight="1" x14ac:dyDescent="0.2">
      <c r="A204" s="74">
        <v>5</v>
      </c>
      <c r="B204" s="28" t="s">
        <v>165</v>
      </c>
      <c r="C204" s="83" t="s">
        <v>162</v>
      </c>
      <c r="D204" s="13">
        <v>575000000</v>
      </c>
      <c r="E204" s="14"/>
      <c r="F204" s="13">
        <f>+D204+E204</f>
        <v>575000000</v>
      </c>
      <c r="G204" s="80">
        <f>+agt!I204</f>
        <v>324299500</v>
      </c>
      <c r="H204" s="79">
        <v>0</v>
      </c>
      <c r="I204" s="15">
        <f>+G204+H204</f>
        <v>324299500</v>
      </c>
      <c r="J204" s="143">
        <f>+I204/F204</f>
        <v>0.56399913043478256</v>
      </c>
      <c r="K204" s="80">
        <f>+agt!M204</f>
        <v>324227500</v>
      </c>
      <c r="L204" s="80">
        <v>0</v>
      </c>
      <c r="M204" s="80">
        <f>+K204+L204</f>
        <v>324227500</v>
      </c>
      <c r="N204" s="171">
        <f>+M204/F204</f>
        <v>0.56387391304347823</v>
      </c>
      <c r="O204" s="15">
        <f>+F204-M204</f>
        <v>250772500</v>
      </c>
      <c r="Q204" s="6" t="str">
        <f t="shared" si="100"/>
        <v>OKE</v>
      </c>
      <c r="R204" s="6"/>
      <c r="S204" s="69"/>
    </row>
    <row r="205" spans="1:19" s="77" customFormat="1" ht="14.1" customHeight="1" x14ac:dyDescent="0.2">
      <c r="A205" s="74"/>
      <c r="B205" s="74"/>
      <c r="C205" s="76"/>
      <c r="D205" s="15"/>
      <c r="E205" s="17"/>
      <c r="F205" s="15"/>
      <c r="G205" s="78"/>
      <c r="H205" s="79"/>
      <c r="I205" s="80"/>
      <c r="J205" s="86"/>
      <c r="K205" s="78"/>
      <c r="L205" s="76"/>
      <c r="M205" s="76"/>
      <c r="N205" s="86"/>
      <c r="O205" s="10"/>
      <c r="Q205" s="6"/>
      <c r="R205" s="6"/>
      <c r="S205" s="68"/>
    </row>
    <row r="206" spans="1:19" s="77" customFormat="1" ht="17.25" customHeight="1" x14ac:dyDescent="0.2">
      <c r="A206" s="74">
        <v>6</v>
      </c>
      <c r="B206" s="28" t="s">
        <v>166</v>
      </c>
      <c r="C206" s="83" t="s">
        <v>163</v>
      </c>
      <c r="D206" s="13">
        <v>270000000</v>
      </c>
      <c r="E206" s="14"/>
      <c r="F206" s="13">
        <f>+D206+E206</f>
        <v>270000000</v>
      </c>
      <c r="G206" s="80">
        <f>+agt!I206</f>
        <v>117595250</v>
      </c>
      <c r="H206" s="79">
        <v>0</v>
      </c>
      <c r="I206" s="15">
        <f>+G206+H206</f>
        <v>117595250</v>
      </c>
      <c r="J206" s="143">
        <f>+I206/F206</f>
        <v>0.43553796296296299</v>
      </c>
      <c r="K206" s="80">
        <f>+agt!M206</f>
        <v>117595250</v>
      </c>
      <c r="L206" s="80">
        <v>0</v>
      </c>
      <c r="M206" s="80">
        <f>+K206+L206</f>
        <v>117595250</v>
      </c>
      <c r="N206" s="171">
        <f>+M206/F206</f>
        <v>0.43553796296296299</v>
      </c>
      <c r="O206" s="15">
        <f>+F206-M206</f>
        <v>152404750</v>
      </c>
      <c r="Q206" s="6" t="str">
        <f t="shared" si="100"/>
        <v>OKE</v>
      </c>
      <c r="R206" s="6"/>
      <c r="S206" s="68"/>
    </row>
    <row r="207" spans="1:19" s="77" customFormat="1" ht="14.1" customHeight="1" x14ac:dyDescent="0.2">
      <c r="A207" s="74"/>
      <c r="B207" s="28"/>
      <c r="C207" s="83"/>
      <c r="D207" s="13"/>
      <c r="E207" s="14"/>
      <c r="F207" s="13"/>
      <c r="G207" s="78"/>
      <c r="H207" s="79"/>
      <c r="I207" s="15"/>
      <c r="J207" s="143"/>
      <c r="K207" s="78"/>
      <c r="L207" s="80"/>
      <c r="M207" s="80"/>
      <c r="N207" s="171"/>
      <c r="O207" s="15"/>
      <c r="Q207" s="6"/>
      <c r="R207" s="6"/>
      <c r="S207" s="68"/>
    </row>
    <row r="208" spans="1:19" s="77" customFormat="1" ht="17.25" customHeight="1" x14ac:dyDescent="0.2">
      <c r="A208" s="74">
        <v>7</v>
      </c>
      <c r="B208" s="28" t="s">
        <v>168</v>
      </c>
      <c r="C208" s="83" t="s">
        <v>167</v>
      </c>
      <c r="D208" s="13">
        <v>1800000000</v>
      </c>
      <c r="E208" s="14"/>
      <c r="F208" s="13">
        <f>+D208+E208</f>
        <v>1800000000</v>
      </c>
      <c r="G208" s="315">
        <f>+agt!I208</f>
        <v>1553126500</v>
      </c>
      <c r="H208" s="79">
        <v>0</v>
      </c>
      <c r="I208" s="15">
        <f>+G208+H208</f>
        <v>1553126500</v>
      </c>
      <c r="J208" s="143">
        <f>+I208/F208</f>
        <v>0.86284805555555555</v>
      </c>
      <c r="K208" s="315">
        <f>+agt!M208</f>
        <v>1553126500</v>
      </c>
      <c r="L208" s="80">
        <v>0</v>
      </c>
      <c r="M208" s="80">
        <f>+K208+L208</f>
        <v>1553126500</v>
      </c>
      <c r="N208" s="171">
        <f>+M208/F208</f>
        <v>0.86284805555555555</v>
      </c>
      <c r="O208" s="15">
        <f>+F208-M208</f>
        <v>246873500</v>
      </c>
      <c r="Q208" s="6" t="str">
        <f t="shared" si="100"/>
        <v>OKE</v>
      </c>
      <c r="R208" s="6"/>
      <c r="S208" s="68"/>
    </row>
    <row r="209" spans="1:19" s="77" customFormat="1" ht="14.1" customHeight="1" x14ac:dyDescent="0.2">
      <c r="A209" s="74"/>
      <c r="B209" s="28"/>
      <c r="C209" s="83"/>
      <c r="D209" s="13"/>
      <c r="E209" s="14"/>
      <c r="F209" s="13"/>
      <c r="G209" s="78"/>
      <c r="H209" s="79"/>
      <c r="I209" s="15"/>
      <c r="J209" s="143"/>
      <c r="K209" s="78"/>
      <c r="L209" s="80"/>
      <c r="M209" s="80"/>
      <c r="N209" s="171"/>
      <c r="O209" s="15"/>
      <c r="Q209" s="6"/>
      <c r="R209" s="6"/>
      <c r="S209" s="68"/>
    </row>
    <row r="210" spans="1:19" s="77" customFormat="1" ht="31.5" customHeight="1" x14ac:dyDescent="0.2">
      <c r="A210" s="74">
        <v>8</v>
      </c>
      <c r="B210" s="28" t="s">
        <v>170</v>
      </c>
      <c r="C210" s="304" t="s">
        <v>169</v>
      </c>
      <c r="D210" s="13">
        <v>961450000</v>
      </c>
      <c r="E210" s="14"/>
      <c r="F210" s="13">
        <f>+D210+E210</f>
        <v>961450000</v>
      </c>
      <c r="G210" s="80">
        <f>+agt!I210</f>
        <v>938287100</v>
      </c>
      <c r="H210" s="79">
        <v>0</v>
      </c>
      <c r="I210" s="15">
        <f>+G210+H210</f>
        <v>938287100</v>
      </c>
      <c r="J210" s="143">
        <f>+I210/F210</f>
        <v>0.97590836756981647</v>
      </c>
      <c r="K210" s="80">
        <f>+agt!M210</f>
        <v>938287100</v>
      </c>
      <c r="L210" s="80">
        <v>0</v>
      </c>
      <c r="M210" s="80">
        <f>+K210+L210</f>
        <v>938287100</v>
      </c>
      <c r="N210" s="171">
        <f>+M210/F210</f>
        <v>0.97590836756981647</v>
      </c>
      <c r="O210" s="15">
        <f>+F210-M210</f>
        <v>23162900</v>
      </c>
      <c r="Q210" s="6" t="str">
        <f t="shared" si="100"/>
        <v>OKE</v>
      </c>
      <c r="R210" s="6"/>
      <c r="S210" s="68"/>
    </row>
    <row r="211" spans="1:19" s="77" customFormat="1" ht="14.1" customHeight="1" x14ac:dyDescent="0.2">
      <c r="A211" s="74"/>
      <c r="B211" s="28"/>
      <c r="C211" s="83"/>
      <c r="D211" s="13"/>
      <c r="E211" s="14"/>
      <c r="F211" s="13"/>
      <c r="G211" s="78"/>
      <c r="H211" s="79"/>
      <c r="I211" s="15"/>
      <c r="J211" s="143"/>
      <c r="K211" s="78"/>
      <c r="L211" s="80"/>
      <c r="M211" s="80"/>
      <c r="N211" s="171"/>
      <c r="O211" s="15"/>
      <c r="Q211" s="6"/>
      <c r="R211" s="6"/>
      <c r="S211" s="68"/>
    </row>
    <row r="212" spans="1:19" ht="14.1" customHeight="1" x14ac:dyDescent="0.2">
      <c r="A212" s="81"/>
      <c r="B212" s="81"/>
      <c r="C212" s="23" t="s">
        <v>172</v>
      </c>
      <c r="D212" s="24">
        <f>SUM(D202:D210)</f>
        <v>5266450000</v>
      </c>
      <c r="E212" s="24">
        <f>SUM(E202:E210)</f>
        <v>0</v>
      </c>
      <c r="F212" s="141">
        <f>+D212+E212</f>
        <v>5266450000</v>
      </c>
      <c r="G212" s="316">
        <f>SUM(G202:G210)</f>
        <v>4297332250</v>
      </c>
      <c r="H212" s="24">
        <f>SUM(H202:H210)</f>
        <v>0</v>
      </c>
      <c r="I212" s="24">
        <f>+G212+H212</f>
        <v>4297332250</v>
      </c>
      <c r="J212" s="175">
        <f>+I212/F212</f>
        <v>0.81598273030219592</v>
      </c>
      <c r="K212" s="316">
        <f>SUM(K202:K211)</f>
        <v>4297260250</v>
      </c>
      <c r="L212" s="24">
        <f>SUM(L202:L211)</f>
        <v>0</v>
      </c>
      <c r="M212" s="24">
        <f>+K212+L212</f>
        <v>4297260250</v>
      </c>
      <c r="N212" s="172">
        <f>+M212/F212</f>
        <v>0.81596905885368698</v>
      </c>
      <c r="O212" s="24">
        <f>+F212-M212</f>
        <v>969189750</v>
      </c>
      <c r="P212" s="77"/>
      <c r="Q212" s="6" t="str">
        <f t="shared" si="100"/>
        <v>OKE</v>
      </c>
      <c r="R212" s="6"/>
    </row>
    <row r="213" spans="1:19" ht="14.1" customHeight="1" x14ac:dyDescent="0.2">
      <c r="A213" s="74"/>
      <c r="B213" s="74"/>
      <c r="C213" s="76"/>
      <c r="D213" s="15"/>
      <c r="E213" s="15"/>
      <c r="F213" s="15"/>
      <c r="G213" s="80"/>
      <c r="H213" s="79"/>
      <c r="I213" s="80"/>
      <c r="J213" s="86"/>
      <c r="K213" s="80"/>
      <c r="L213" s="76"/>
      <c r="M213" s="76"/>
      <c r="N213" s="86"/>
      <c r="O213" s="10"/>
      <c r="P213" s="77"/>
      <c r="Q213" s="6"/>
      <c r="R213" s="6"/>
    </row>
    <row r="214" spans="1:19" ht="14.1" customHeight="1" x14ac:dyDescent="0.2">
      <c r="A214" s="74"/>
      <c r="B214" s="217" t="s">
        <v>202</v>
      </c>
      <c r="C214" s="216" t="s">
        <v>203</v>
      </c>
      <c r="D214" s="178">
        <f>+D216</f>
        <v>155412000</v>
      </c>
      <c r="E214" s="221">
        <f>+E216</f>
        <v>0</v>
      </c>
      <c r="F214" s="178">
        <f>D214</f>
        <v>155412000</v>
      </c>
      <c r="G214" s="178">
        <f>+G216</f>
        <v>1330000</v>
      </c>
      <c r="H214" s="178">
        <f>+H216</f>
        <v>93600000</v>
      </c>
      <c r="I214" s="10">
        <f>+G214+H214</f>
        <v>94930000</v>
      </c>
      <c r="J214" s="168">
        <f>+I214/F214</f>
        <v>0.61082799269039711</v>
      </c>
      <c r="K214" s="194">
        <f>+K216</f>
        <v>1330000</v>
      </c>
      <c r="L214" s="180">
        <f>+L216</f>
        <v>93600000</v>
      </c>
      <c r="M214" s="180">
        <f>+K214+L214</f>
        <v>94930000</v>
      </c>
      <c r="N214" s="169">
        <f>+M214/D214</f>
        <v>0.61082799269039711</v>
      </c>
      <c r="O214" s="10">
        <f>+F214-M214</f>
        <v>60482000</v>
      </c>
      <c r="P214" s="83"/>
      <c r="Q214" s="6" t="str">
        <f t="shared" ref="Q214" si="115">IF(M214&lt;=I214,"OKE","Salah")</f>
        <v>OKE</v>
      </c>
      <c r="R214" s="6"/>
    </row>
    <row r="215" spans="1:19" ht="14.1" customHeight="1" x14ac:dyDescent="0.2">
      <c r="A215" s="74"/>
      <c r="B215" s="95"/>
      <c r="C215" s="27"/>
      <c r="D215" s="13"/>
      <c r="E215" s="14"/>
      <c r="F215" s="13"/>
      <c r="G215" s="78"/>
      <c r="H215" s="79"/>
      <c r="I215" s="15"/>
      <c r="J215" s="143"/>
      <c r="K215" s="78"/>
      <c r="L215" s="80"/>
      <c r="M215" s="80"/>
      <c r="N215" s="171"/>
      <c r="O215" s="15"/>
      <c r="P215" s="83"/>
      <c r="Q215" s="6"/>
      <c r="R215" s="6"/>
    </row>
    <row r="216" spans="1:19" ht="18.75" customHeight="1" x14ac:dyDescent="0.2">
      <c r="A216" s="74">
        <v>9</v>
      </c>
      <c r="B216" s="95" t="s">
        <v>206</v>
      </c>
      <c r="C216" s="468" t="s">
        <v>207</v>
      </c>
      <c r="D216" s="13">
        <v>155412000</v>
      </c>
      <c r="E216" s="14"/>
      <c r="F216" s="13">
        <f>D216</f>
        <v>155412000</v>
      </c>
      <c r="G216" s="80">
        <f>+agt!I216</f>
        <v>1330000</v>
      </c>
      <c r="H216" s="79">
        <v>93600000</v>
      </c>
      <c r="I216" s="15">
        <f>+G216+H216</f>
        <v>94930000</v>
      </c>
      <c r="J216" s="143">
        <f>+I216/F216</f>
        <v>0.61082799269039711</v>
      </c>
      <c r="K216" s="80">
        <f>+agt!M216</f>
        <v>1330000</v>
      </c>
      <c r="L216" s="80">
        <v>93600000</v>
      </c>
      <c r="M216" s="80">
        <f>+K216+L216</f>
        <v>94930000</v>
      </c>
      <c r="N216" s="171">
        <f>+M216/D216</f>
        <v>0.61082799269039711</v>
      </c>
      <c r="O216" s="15">
        <f>+F216-M216</f>
        <v>60482000</v>
      </c>
      <c r="P216" s="83"/>
      <c r="Q216" s="6" t="str">
        <f t="shared" ref="Q216" si="116">IF(M216&lt;=I216,"OKE","Salah")</f>
        <v>OKE</v>
      </c>
      <c r="R216" s="6"/>
    </row>
    <row r="217" spans="1:19" ht="17.25" customHeight="1" x14ac:dyDescent="0.2">
      <c r="A217" s="74"/>
      <c r="B217" s="95"/>
      <c r="C217" s="468"/>
      <c r="D217" s="13"/>
      <c r="E217" s="14"/>
      <c r="F217" s="13"/>
      <c r="G217" s="78"/>
      <c r="H217" s="79"/>
      <c r="I217" s="15"/>
      <c r="J217" s="143"/>
      <c r="K217" s="78"/>
      <c r="L217" s="80"/>
      <c r="M217" s="80"/>
      <c r="N217" s="171"/>
      <c r="O217" s="15"/>
      <c r="P217" s="83"/>
      <c r="Q217" s="6"/>
      <c r="R217" s="6"/>
    </row>
    <row r="218" spans="1:19" ht="23.25" customHeight="1" x14ac:dyDescent="0.2">
      <c r="A218" s="226"/>
      <c r="B218" s="227"/>
      <c r="C218" s="223" t="s">
        <v>171</v>
      </c>
      <c r="D218" s="224">
        <f>+D216</f>
        <v>155412000</v>
      </c>
      <c r="E218" s="224">
        <f>+E216</f>
        <v>0</v>
      </c>
      <c r="F218" s="224">
        <f>+F216</f>
        <v>155412000</v>
      </c>
      <c r="G218" s="224">
        <f>+G216</f>
        <v>1330000</v>
      </c>
      <c r="H218" s="224">
        <f>+H216</f>
        <v>93600000</v>
      </c>
      <c r="I218" s="141">
        <f>+G218+H218</f>
        <v>94930000</v>
      </c>
      <c r="J218" s="176">
        <f>+I218/F218</f>
        <v>0.61082799269039711</v>
      </c>
      <c r="K218" s="224">
        <f>+K216</f>
        <v>1330000</v>
      </c>
      <c r="L218" s="224">
        <f>+L216</f>
        <v>93600000</v>
      </c>
      <c r="M218" s="232"/>
      <c r="N218" s="173"/>
      <c r="O218" s="141"/>
      <c r="P218" s="208"/>
      <c r="Q218" s="6"/>
      <c r="R218" s="6"/>
    </row>
    <row r="219" spans="1:19" ht="14.1" customHeight="1" x14ac:dyDescent="0.2">
      <c r="A219" s="74"/>
      <c r="B219" s="74"/>
      <c r="C219" s="77"/>
      <c r="D219" s="15"/>
      <c r="E219" s="15"/>
      <c r="F219" s="15"/>
      <c r="G219" s="80"/>
      <c r="H219" s="79"/>
      <c r="I219" s="80"/>
      <c r="J219" s="86"/>
      <c r="K219" s="80"/>
      <c r="L219" s="76"/>
      <c r="M219" s="76"/>
      <c r="N219" s="86"/>
      <c r="O219" s="10"/>
      <c r="P219" s="77"/>
      <c r="Q219" s="6"/>
      <c r="R219" s="6"/>
    </row>
    <row r="220" spans="1:19" ht="14.1" customHeight="1" x14ac:dyDescent="0.2">
      <c r="A220" s="206"/>
      <c r="B220" s="206" t="s">
        <v>173</v>
      </c>
      <c r="C220" s="255" t="s">
        <v>177</v>
      </c>
      <c r="D220" s="209">
        <f>D226</f>
        <v>1022000000</v>
      </c>
      <c r="E220" s="10">
        <f>E226</f>
        <v>0</v>
      </c>
      <c r="F220" s="10">
        <f>+D220+E220</f>
        <v>1022000000</v>
      </c>
      <c r="G220" s="10">
        <f>G226</f>
        <v>793057720</v>
      </c>
      <c r="H220" s="10">
        <f>H226</f>
        <v>84329989</v>
      </c>
      <c r="I220" s="10">
        <f>+G220+H220</f>
        <v>877387709</v>
      </c>
      <c r="J220" s="168">
        <f>+I220/F220</f>
        <v>0.85850069373776905</v>
      </c>
      <c r="K220" s="10">
        <f>K226</f>
        <v>793057720</v>
      </c>
      <c r="L220" s="10">
        <f>L226</f>
        <v>84329989</v>
      </c>
      <c r="M220" s="10">
        <f>+K220+L220</f>
        <v>877387709</v>
      </c>
      <c r="N220" s="169">
        <f>+M220/F220</f>
        <v>0.85850069373776905</v>
      </c>
      <c r="O220" s="10">
        <f>+F220-M220</f>
        <v>144612291</v>
      </c>
      <c r="P220" s="77"/>
      <c r="Q220" s="6" t="str">
        <f t="shared" si="100"/>
        <v>OKE</v>
      </c>
      <c r="R220" s="6"/>
    </row>
    <row r="221" spans="1:19" ht="14.1" customHeight="1" x14ac:dyDescent="0.2">
      <c r="A221" s="74"/>
      <c r="B221" s="74"/>
      <c r="C221" s="76"/>
      <c r="D221" s="15"/>
      <c r="E221" s="15"/>
      <c r="F221" s="15"/>
      <c r="G221" s="80"/>
      <c r="H221" s="79"/>
      <c r="I221" s="80"/>
      <c r="J221" s="86"/>
      <c r="K221" s="80"/>
      <c r="L221" s="76"/>
      <c r="M221" s="76"/>
      <c r="N221" s="86"/>
      <c r="O221" s="10"/>
      <c r="P221" s="77"/>
      <c r="Q221" s="6"/>
      <c r="R221" s="6"/>
    </row>
    <row r="222" spans="1:19" ht="14.1" customHeight="1" x14ac:dyDescent="0.2">
      <c r="A222" s="74">
        <v>10</v>
      </c>
      <c r="B222" s="28" t="s">
        <v>174</v>
      </c>
      <c r="C222" s="27" t="s">
        <v>60</v>
      </c>
      <c r="D222" s="13">
        <v>22000000</v>
      </c>
      <c r="E222" s="14"/>
      <c r="F222" s="13">
        <f>+D222+E222</f>
        <v>22000000</v>
      </c>
      <c r="G222" s="80">
        <f>+agt!I222</f>
        <v>10400000</v>
      </c>
      <c r="H222" s="79">
        <v>0</v>
      </c>
      <c r="I222" s="15">
        <f t="shared" ref="I222:I224" si="117">+G222+H222</f>
        <v>10400000</v>
      </c>
      <c r="J222" s="143">
        <f>+I222/F222</f>
        <v>0.47272727272727272</v>
      </c>
      <c r="K222" s="80">
        <f>+agt!M222</f>
        <v>10400000</v>
      </c>
      <c r="L222" s="80">
        <v>0</v>
      </c>
      <c r="M222" s="80">
        <f t="shared" ref="M222" si="118">+K222+L222</f>
        <v>10400000</v>
      </c>
      <c r="N222" s="171">
        <f>+M222/F222</f>
        <v>0.47272727272727272</v>
      </c>
      <c r="O222" s="15">
        <f>+F222-M222</f>
        <v>11600000</v>
      </c>
      <c r="P222" s="77"/>
      <c r="Q222" s="6" t="str">
        <f t="shared" si="100"/>
        <v>OKE</v>
      </c>
      <c r="R222" s="6"/>
    </row>
    <row r="223" spans="1:19" ht="14.1" customHeight="1" x14ac:dyDescent="0.2">
      <c r="A223" s="74"/>
      <c r="B223" s="28"/>
      <c r="C223" s="27"/>
      <c r="D223" s="13"/>
      <c r="E223" s="14"/>
      <c r="F223" s="13"/>
      <c r="G223" s="78"/>
      <c r="H223" s="79"/>
      <c r="I223" s="15"/>
      <c r="J223" s="143"/>
      <c r="K223" s="78"/>
      <c r="L223" s="80"/>
      <c r="M223" s="80"/>
      <c r="N223" s="171"/>
      <c r="O223" s="15"/>
      <c r="P223" s="77"/>
      <c r="Q223" s="6"/>
      <c r="R223" s="6"/>
    </row>
    <row r="224" spans="1:19" ht="14.1" customHeight="1" x14ac:dyDescent="0.2">
      <c r="A224" s="74">
        <v>11</v>
      </c>
      <c r="B224" s="28" t="s">
        <v>175</v>
      </c>
      <c r="C224" s="276" t="s">
        <v>176</v>
      </c>
      <c r="D224" s="13">
        <v>1000000000</v>
      </c>
      <c r="E224" s="14"/>
      <c r="F224" s="13">
        <f>+D224+E224</f>
        <v>1000000000</v>
      </c>
      <c r="G224" s="80">
        <f>+agt!I224</f>
        <v>782657720</v>
      </c>
      <c r="H224" s="79">
        <f>8045700+73484536+2799753</f>
        <v>84329989</v>
      </c>
      <c r="I224" s="15">
        <f t="shared" si="117"/>
        <v>866987709</v>
      </c>
      <c r="J224" s="143">
        <f>+I224/F224</f>
        <v>0.866987709</v>
      </c>
      <c r="K224" s="80">
        <f>+agt!M224</f>
        <v>782657720</v>
      </c>
      <c r="L224" s="79">
        <f>8045700+73484536+2799753</f>
        <v>84329989</v>
      </c>
      <c r="M224" s="80">
        <f>+K224+L224</f>
        <v>866987709</v>
      </c>
      <c r="N224" s="171">
        <f>+M224/F224</f>
        <v>0.866987709</v>
      </c>
      <c r="O224" s="15">
        <f>+F224-M224</f>
        <v>133012291</v>
      </c>
      <c r="P224" s="77"/>
      <c r="Q224" s="6" t="str">
        <f>IF(M224&lt;=I224,"OKE","Salah")</f>
        <v>OKE</v>
      </c>
      <c r="R224" s="6"/>
    </row>
    <row r="225" spans="1:18" ht="14.1" customHeight="1" x14ac:dyDescent="0.2">
      <c r="A225" s="74"/>
      <c r="B225" s="29"/>
      <c r="C225" s="27"/>
      <c r="D225" s="13"/>
      <c r="E225" s="14"/>
      <c r="F225" s="13"/>
      <c r="G225" s="78"/>
      <c r="H225" s="79"/>
      <c r="I225" s="15"/>
      <c r="J225" s="143"/>
      <c r="K225" s="80"/>
      <c r="L225" s="80"/>
      <c r="M225" s="80"/>
      <c r="N225" s="171"/>
      <c r="O225" s="15"/>
      <c r="P225" s="77"/>
      <c r="Q225" s="6"/>
      <c r="R225" s="6"/>
    </row>
    <row r="226" spans="1:18" ht="14.1" customHeight="1" x14ac:dyDescent="0.2">
      <c r="A226" s="81"/>
      <c r="B226" s="81"/>
      <c r="C226" s="23" t="s">
        <v>172</v>
      </c>
      <c r="D226" s="24">
        <f>+D222+D224</f>
        <v>1022000000</v>
      </c>
      <c r="E226" s="24">
        <f>SUM(E222:E225)</f>
        <v>0</v>
      </c>
      <c r="F226" s="141">
        <f>SUM(F222:F225)</f>
        <v>1022000000</v>
      </c>
      <c r="G226" s="24">
        <f t="shared" ref="G226:H226" si="119">+G222+G224</f>
        <v>793057720</v>
      </c>
      <c r="H226" s="24">
        <f t="shared" si="119"/>
        <v>84329989</v>
      </c>
      <c r="I226" s="24">
        <f>+G226+H226</f>
        <v>877387709</v>
      </c>
      <c r="J226" s="175">
        <f>+I226/F226</f>
        <v>0.85850069373776905</v>
      </c>
      <c r="K226" s="24">
        <f>SUM(K222:K225)</f>
        <v>793057720</v>
      </c>
      <c r="L226" s="24">
        <f>SUM(L222:L225)</f>
        <v>84329989</v>
      </c>
      <c r="M226" s="24">
        <f>+K226+L226</f>
        <v>877387709</v>
      </c>
      <c r="N226" s="172">
        <f>+M226/F226</f>
        <v>0.85850069373776905</v>
      </c>
      <c r="O226" s="24">
        <f>+F226-M226</f>
        <v>144612291</v>
      </c>
      <c r="P226" s="77"/>
      <c r="Q226" s="6" t="str">
        <f t="shared" si="100"/>
        <v>OKE</v>
      </c>
      <c r="R226" s="6"/>
    </row>
    <row r="227" spans="1:18" ht="15" customHeight="1" x14ac:dyDescent="0.2">
      <c r="A227" s="87"/>
      <c r="B227" s="87"/>
      <c r="C227" s="148"/>
      <c r="D227" s="149"/>
      <c r="E227" s="149"/>
      <c r="F227" s="149"/>
      <c r="G227" s="149"/>
      <c r="H227" s="149"/>
      <c r="I227" s="149"/>
      <c r="J227" s="177"/>
      <c r="K227" s="149"/>
      <c r="L227" s="149"/>
      <c r="M227" s="149"/>
      <c r="N227" s="174"/>
      <c r="O227" s="149"/>
      <c r="P227" s="77"/>
      <c r="Q227" s="6"/>
      <c r="R227" s="6"/>
    </row>
    <row r="228" spans="1:18" ht="15" customHeight="1" x14ac:dyDescent="0.2">
      <c r="A228" s="206"/>
      <c r="B228" s="206" t="s">
        <v>179</v>
      </c>
      <c r="C228" s="282" t="s">
        <v>178</v>
      </c>
      <c r="D228" s="209">
        <f>+D236</f>
        <v>2410000000</v>
      </c>
      <c r="E228" s="10">
        <f t="shared" ref="E228:F228" si="120">+E236</f>
        <v>0</v>
      </c>
      <c r="F228" s="10">
        <f t="shared" si="120"/>
        <v>2410000000</v>
      </c>
      <c r="G228" s="312">
        <f>+G236</f>
        <v>1101195293</v>
      </c>
      <c r="H228" s="11">
        <f>+H236</f>
        <v>163188165</v>
      </c>
      <c r="I228" s="10">
        <f>+G228+H228</f>
        <v>1264383458</v>
      </c>
      <c r="J228" s="168">
        <f>+I228/F228</f>
        <v>0.52464043900414936</v>
      </c>
      <c r="K228" s="312">
        <f>+K236</f>
        <v>1085750512</v>
      </c>
      <c r="L228" s="10">
        <f>+L236</f>
        <v>163188165</v>
      </c>
      <c r="M228" s="10">
        <f>+K228+L228</f>
        <v>1248938677</v>
      </c>
      <c r="N228" s="169">
        <f>+M228/F228</f>
        <v>0.51823181618257264</v>
      </c>
      <c r="O228" s="10">
        <f>+F228-M228</f>
        <v>1161061323</v>
      </c>
      <c r="P228" s="77"/>
      <c r="Q228" s="6" t="str">
        <f t="shared" ref="Q228:Q236" si="121">IF(M228&lt;=I228,"OKE","Salah")</f>
        <v>OKE</v>
      </c>
      <c r="R228" s="6"/>
    </row>
    <row r="229" spans="1:18" ht="15" customHeight="1" x14ac:dyDescent="0.2">
      <c r="A229" s="74"/>
      <c r="B229" s="74"/>
      <c r="C229" s="76"/>
      <c r="D229" s="15"/>
      <c r="E229" s="15"/>
      <c r="F229" s="15"/>
      <c r="G229" s="80"/>
      <c r="H229" s="79"/>
      <c r="I229" s="80"/>
      <c r="J229" s="86"/>
      <c r="K229" s="80"/>
      <c r="L229" s="76"/>
      <c r="M229" s="76"/>
      <c r="N229" s="86"/>
      <c r="O229" s="10"/>
      <c r="P229" s="77"/>
      <c r="Q229" s="6"/>
      <c r="R229" s="6"/>
    </row>
    <row r="230" spans="1:18" ht="28.5" customHeight="1" x14ac:dyDescent="0.2">
      <c r="A230" s="74">
        <v>12</v>
      </c>
      <c r="B230" s="354" t="s">
        <v>181</v>
      </c>
      <c r="C230" s="276" t="s">
        <v>180</v>
      </c>
      <c r="D230" s="213">
        <v>910000000</v>
      </c>
      <c r="E230" s="14"/>
      <c r="F230" s="13">
        <f>+D230+E230</f>
        <v>910000000</v>
      </c>
      <c r="G230" s="80">
        <f>+agt!I230</f>
        <v>562180962</v>
      </c>
      <c r="H230" s="79">
        <v>36796165</v>
      </c>
      <c r="I230" s="15">
        <f>+G230+H230</f>
        <v>598977127</v>
      </c>
      <c r="J230" s="143">
        <f>+I230/F230</f>
        <v>0.65821662307692308</v>
      </c>
      <c r="K230" s="80">
        <f>+agt!M230</f>
        <v>562180962</v>
      </c>
      <c r="L230" s="79">
        <v>36796165</v>
      </c>
      <c r="M230" s="80">
        <f>+K230+L230</f>
        <v>598977127</v>
      </c>
      <c r="N230" s="171">
        <f>+M230/F230</f>
        <v>0.65821662307692308</v>
      </c>
      <c r="O230" s="15">
        <f>+F230-M230</f>
        <v>311022873</v>
      </c>
      <c r="P230" s="77"/>
      <c r="Q230" s="6" t="str">
        <f t="shared" ref="Q230" si="122">IF(M230&lt;=I230,"OKE","Salah")</f>
        <v>OKE</v>
      </c>
      <c r="R230" s="6"/>
    </row>
    <row r="231" spans="1:18" ht="15" customHeight="1" x14ac:dyDescent="0.2">
      <c r="A231" s="74"/>
      <c r="B231" s="74"/>
      <c r="C231" s="83"/>
      <c r="D231" s="15"/>
      <c r="E231" s="17"/>
      <c r="F231" s="15"/>
      <c r="G231" s="78"/>
      <c r="H231" s="79"/>
      <c r="I231" s="80"/>
      <c r="J231" s="86"/>
      <c r="K231" s="78"/>
      <c r="L231" s="76"/>
      <c r="M231" s="76"/>
      <c r="N231" s="86"/>
      <c r="O231" s="10"/>
      <c r="P231" s="77"/>
      <c r="Q231" s="6"/>
      <c r="R231" s="6"/>
    </row>
    <row r="232" spans="1:18" ht="30.75" customHeight="1" x14ac:dyDescent="0.2">
      <c r="A232" s="74">
        <v>13</v>
      </c>
      <c r="B232" s="355" t="s">
        <v>209</v>
      </c>
      <c r="C232" s="274" t="s">
        <v>208</v>
      </c>
      <c r="D232" s="13">
        <v>1000000000</v>
      </c>
      <c r="E232" s="14"/>
      <c r="F232" s="13">
        <f>E232+D232</f>
        <v>1000000000</v>
      </c>
      <c r="G232" s="80">
        <f>+agt!I232</f>
        <v>339244931</v>
      </c>
      <c r="H232" s="79">
        <f>18899000+107493000</f>
        <v>126392000</v>
      </c>
      <c r="I232" s="15">
        <f>+G232+H232</f>
        <v>465636931</v>
      </c>
      <c r="J232" s="143">
        <f>+I232/F232</f>
        <v>0.46563693099999998</v>
      </c>
      <c r="K232" s="80">
        <f>+agt!M232</f>
        <v>339169400</v>
      </c>
      <c r="L232" s="80">
        <f>18899000+107493000</f>
        <v>126392000</v>
      </c>
      <c r="M232" s="80">
        <f>+K232+L232</f>
        <v>465561400</v>
      </c>
      <c r="N232" s="171">
        <f>+M232/D232</f>
        <v>0.46556140000000001</v>
      </c>
      <c r="O232" s="15">
        <f>+F232-M232</f>
        <v>534438600</v>
      </c>
      <c r="P232" s="83"/>
      <c r="Q232" s="6" t="str">
        <f t="shared" ref="Q232" si="123">IF(M232&lt;=I232,"OKE","Salah")</f>
        <v>OKE</v>
      </c>
      <c r="R232" s="6"/>
    </row>
    <row r="233" spans="1:18" ht="15" customHeight="1" x14ac:dyDescent="0.2">
      <c r="A233" s="74"/>
      <c r="B233" s="218"/>
      <c r="C233" s="25"/>
      <c r="D233" s="13"/>
      <c r="E233" s="14"/>
      <c r="F233" s="13"/>
      <c r="G233" s="78"/>
      <c r="H233" s="79"/>
      <c r="I233" s="15"/>
      <c r="J233" s="143"/>
      <c r="K233" s="78"/>
      <c r="L233" s="80"/>
      <c r="M233" s="80"/>
      <c r="N233" s="171"/>
      <c r="O233" s="15"/>
      <c r="P233" s="83"/>
      <c r="Q233" s="6"/>
      <c r="R233" s="6"/>
    </row>
    <row r="234" spans="1:18" ht="30.75" customHeight="1" x14ac:dyDescent="0.2">
      <c r="A234" s="74">
        <v>14</v>
      </c>
      <c r="B234" s="355" t="s">
        <v>211</v>
      </c>
      <c r="C234" s="275" t="s">
        <v>210</v>
      </c>
      <c r="D234" s="15">
        <v>500000000</v>
      </c>
      <c r="E234" s="15"/>
      <c r="F234" s="13">
        <f>E234+D234</f>
        <v>500000000</v>
      </c>
      <c r="G234" s="80">
        <f>+agt!I234</f>
        <v>199769400</v>
      </c>
      <c r="H234" s="79">
        <v>0</v>
      </c>
      <c r="I234" s="15">
        <f>+G234+H234</f>
        <v>199769400</v>
      </c>
      <c r="J234" s="143">
        <f>+I234/F234</f>
        <v>0.39953880000000003</v>
      </c>
      <c r="K234" s="80">
        <f>+agt!M234</f>
        <v>184400150</v>
      </c>
      <c r="L234" s="80">
        <v>0</v>
      </c>
      <c r="M234" s="80">
        <f>+K234+L234</f>
        <v>184400150</v>
      </c>
      <c r="N234" s="171">
        <f>+M234/D234</f>
        <v>0.36880030000000003</v>
      </c>
      <c r="O234" s="15">
        <f>+F234-M234</f>
        <v>315599850</v>
      </c>
      <c r="P234" s="83"/>
      <c r="Q234" s="6" t="str">
        <f t="shared" ref="Q234" si="124">IF(M234&lt;=I234,"OKE","Salah")</f>
        <v>OKE</v>
      </c>
      <c r="R234" s="6"/>
    </row>
    <row r="235" spans="1:18" ht="15" customHeight="1" x14ac:dyDescent="0.2">
      <c r="A235" s="74"/>
      <c r="B235" s="74"/>
      <c r="C235" s="83"/>
      <c r="D235" s="15"/>
      <c r="E235" s="17"/>
      <c r="F235" s="15"/>
      <c r="G235" s="78"/>
      <c r="H235" s="79"/>
      <c r="I235" s="80"/>
      <c r="J235" s="86"/>
      <c r="K235" s="78"/>
      <c r="L235" s="76"/>
      <c r="M235" s="76"/>
      <c r="N235" s="86"/>
      <c r="O235" s="10"/>
      <c r="P235" s="77"/>
      <c r="Q235" s="6"/>
      <c r="R235" s="6"/>
    </row>
    <row r="236" spans="1:18" ht="18.75" customHeight="1" x14ac:dyDescent="0.2">
      <c r="A236" s="139"/>
      <c r="B236" s="139"/>
      <c r="C236" s="140" t="s">
        <v>172</v>
      </c>
      <c r="D236" s="141">
        <f>+D230+D232+D234</f>
        <v>2410000000</v>
      </c>
      <c r="E236" s="141">
        <f>+E230</f>
        <v>0</v>
      </c>
      <c r="F236" s="141">
        <f>+D236+E236</f>
        <v>2410000000</v>
      </c>
      <c r="G236" s="313">
        <f>+G230+G232+G234</f>
        <v>1101195293</v>
      </c>
      <c r="H236" s="141">
        <f>+H230+H232+H234</f>
        <v>163188165</v>
      </c>
      <c r="I236" s="141">
        <f>+G236+H236</f>
        <v>1264383458</v>
      </c>
      <c r="J236" s="176">
        <f>+I236/F236</f>
        <v>0.52464043900414936</v>
      </c>
      <c r="K236" s="313">
        <f>+K230+K232+K234</f>
        <v>1085750512</v>
      </c>
      <c r="L236" s="141">
        <f>+L230+L232+L234</f>
        <v>163188165</v>
      </c>
      <c r="M236" s="141">
        <f>+K236+L236</f>
        <v>1248938677</v>
      </c>
      <c r="N236" s="173">
        <f>+M236/F236</f>
        <v>0.51823181618257264</v>
      </c>
      <c r="O236" s="141">
        <f>+F236-M236</f>
        <v>1161061323</v>
      </c>
      <c r="P236" s="77"/>
      <c r="Q236" s="6" t="str">
        <f t="shared" si="121"/>
        <v>OKE</v>
      </c>
      <c r="R236" s="6"/>
    </row>
    <row r="237" spans="1:18" ht="15.95" customHeight="1" x14ac:dyDescent="0.2">
      <c r="A237" s="87"/>
      <c r="B237" s="182"/>
      <c r="C237" s="4"/>
      <c r="D237" s="183"/>
      <c r="E237" s="183"/>
      <c r="F237" s="183"/>
      <c r="G237" s="256"/>
      <c r="H237" s="257"/>
      <c r="I237" s="184"/>
      <c r="J237" s="185"/>
      <c r="K237" s="256"/>
      <c r="L237" s="256"/>
      <c r="M237" s="256"/>
      <c r="N237" s="186"/>
      <c r="O237" s="184"/>
      <c r="P237" s="77"/>
      <c r="Q237" s="6"/>
      <c r="R237" s="6"/>
    </row>
    <row r="238" spans="1:18" ht="34.5" customHeight="1" x14ac:dyDescent="0.2">
      <c r="A238" s="74"/>
      <c r="B238" s="214" t="s">
        <v>304</v>
      </c>
      <c r="C238" s="301" t="s">
        <v>277</v>
      </c>
      <c r="D238" s="178">
        <f>+D240</f>
        <v>1017000000</v>
      </c>
      <c r="E238" s="14"/>
      <c r="F238" s="178">
        <f>+D238+E238</f>
        <v>1017000000</v>
      </c>
      <c r="G238" s="178">
        <f>+G240+G247</f>
        <v>576300000</v>
      </c>
      <c r="H238" s="178">
        <f>+H240+H247</f>
        <v>72037500</v>
      </c>
      <c r="I238" s="10">
        <f>+G238+H238</f>
        <v>648337500</v>
      </c>
      <c r="J238" s="168">
        <f>+I238/F238</f>
        <v>0.63749999999999996</v>
      </c>
      <c r="K238" s="178">
        <f>+K240+K247</f>
        <v>576300000</v>
      </c>
      <c r="L238" s="178">
        <f>+L240+L247</f>
        <v>72037500</v>
      </c>
      <c r="M238" s="180">
        <f>+K238+L238</f>
        <v>648337500</v>
      </c>
      <c r="N238" s="169">
        <f>+M238/F238</f>
        <v>0.63749999999999996</v>
      </c>
      <c r="O238" s="10">
        <f>+F238-M238</f>
        <v>368662500</v>
      </c>
      <c r="P238" s="83"/>
      <c r="Q238" s="6" t="str">
        <f t="shared" ref="Q238" si="125">IF(M238&lt;=I238,"OKE","Salah")</f>
        <v>OKE</v>
      </c>
      <c r="R238" s="6"/>
    </row>
    <row r="239" spans="1:18" ht="15.95" customHeight="1" x14ac:dyDescent="0.2">
      <c r="A239" s="74"/>
      <c r="B239" s="74"/>
      <c r="C239" s="76"/>
      <c r="D239" s="15"/>
      <c r="E239" s="15"/>
      <c r="F239" s="15"/>
      <c r="G239" s="80"/>
      <c r="H239" s="79"/>
      <c r="I239" s="80"/>
      <c r="J239" s="86"/>
      <c r="K239" s="80"/>
      <c r="L239" s="76"/>
      <c r="M239" s="76"/>
      <c r="N239" s="86"/>
      <c r="O239" s="10"/>
      <c r="P239" s="83"/>
      <c r="Q239" s="6"/>
      <c r="R239" s="6"/>
    </row>
    <row r="240" spans="1:18" ht="27" customHeight="1" x14ac:dyDescent="0.2">
      <c r="A240" s="74">
        <v>15</v>
      </c>
      <c r="B240" s="29" t="s">
        <v>303</v>
      </c>
      <c r="C240" s="219" t="s">
        <v>312</v>
      </c>
      <c r="D240" s="13">
        <v>1017000000</v>
      </c>
      <c r="E240" s="14"/>
      <c r="F240" s="13">
        <f>+D240+E240</f>
        <v>1017000000</v>
      </c>
      <c r="G240" s="80">
        <f>+agt!I240</f>
        <v>576300000</v>
      </c>
      <c r="H240" s="79">
        <v>72037500</v>
      </c>
      <c r="I240" s="15">
        <f>+G240+H240</f>
        <v>648337500</v>
      </c>
      <c r="J240" s="143">
        <f>+I240/F240</f>
        <v>0.63749999999999996</v>
      </c>
      <c r="K240" s="80">
        <f>+agt!M240</f>
        <v>576300000</v>
      </c>
      <c r="L240" s="80">
        <v>72037500</v>
      </c>
      <c r="M240" s="80">
        <f>+K240+L240</f>
        <v>648337500</v>
      </c>
      <c r="N240" s="171">
        <f>+M240/F240</f>
        <v>0.63749999999999996</v>
      </c>
      <c r="O240" s="15">
        <f>+F240-M240</f>
        <v>368662500</v>
      </c>
      <c r="P240" s="83"/>
      <c r="Q240" s="6" t="str">
        <f t="shared" ref="Q240" si="126">IF(M240&lt;=I240,"OKE","Salah")</f>
        <v>OKE</v>
      </c>
      <c r="R240" s="6"/>
    </row>
    <row r="241" spans="1:19" ht="16.5" customHeight="1" x14ac:dyDescent="0.2">
      <c r="A241" s="74"/>
      <c r="B241" s="29"/>
      <c r="C241" s="219"/>
      <c r="D241" s="13"/>
      <c r="E241" s="14"/>
      <c r="F241" s="13"/>
      <c r="G241" s="78"/>
      <c r="H241" s="79"/>
      <c r="I241" s="15"/>
      <c r="J241" s="143"/>
      <c r="K241" s="78"/>
      <c r="L241" s="80"/>
      <c r="M241" s="80"/>
      <c r="N241" s="171"/>
      <c r="O241" s="15"/>
      <c r="P241" s="77"/>
      <c r="Q241" s="6"/>
      <c r="R241" s="6"/>
    </row>
    <row r="242" spans="1:19" ht="17.25" customHeight="1" x14ac:dyDescent="0.2">
      <c r="A242" s="139"/>
      <c r="B242" s="139"/>
      <c r="C242" s="140" t="s">
        <v>172</v>
      </c>
      <c r="D242" s="141">
        <f>+D240</f>
        <v>1017000000</v>
      </c>
      <c r="E242" s="141">
        <f>+E240</f>
        <v>0</v>
      </c>
      <c r="F242" s="141">
        <f>+F240</f>
        <v>1017000000</v>
      </c>
      <c r="G242" s="141">
        <f t="shared" ref="G242:H242" si="127">+G240</f>
        <v>576300000</v>
      </c>
      <c r="H242" s="141">
        <f t="shared" si="127"/>
        <v>72037500</v>
      </c>
      <c r="I242" s="141">
        <f>+G242+H242</f>
        <v>648337500</v>
      </c>
      <c r="J242" s="176">
        <f>+I242/F242</f>
        <v>0.63749999999999996</v>
      </c>
      <c r="K242" s="141">
        <f>+K240</f>
        <v>576300000</v>
      </c>
      <c r="L242" s="141">
        <f>+L240</f>
        <v>72037500</v>
      </c>
      <c r="M242" s="141">
        <f>+K242+L242</f>
        <v>648337500</v>
      </c>
      <c r="N242" s="173">
        <f>+M242/F242</f>
        <v>0.63749999999999996</v>
      </c>
      <c r="O242" s="141">
        <f>+F242-M242</f>
        <v>368662500</v>
      </c>
      <c r="P242" s="77"/>
      <c r="Q242" s="6" t="str">
        <f t="shared" ref="Q242" si="128">IF(M242&lt;=I242,"OKE","Salah")</f>
        <v>OKE</v>
      </c>
      <c r="R242" s="6"/>
    </row>
    <row r="243" spans="1:19" ht="15.95" customHeight="1" x14ac:dyDescent="0.2">
      <c r="A243" s="74"/>
      <c r="B243" s="29"/>
      <c r="C243" s="8"/>
      <c r="D243" s="13"/>
      <c r="E243" s="13"/>
      <c r="F243" s="13"/>
      <c r="G243" s="80"/>
      <c r="H243" s="79"/>
      <c r="I243" s="15"/>
      <c r="J243" s="143"/>
      <c r="K243" s="80"/>
      <c r="L243" s="80"/>
      <c r="M243" s="80"/>
      <c r="N243" s="171"/>
      <c r="O243" s="15"/>
      <c r="P243" s="77"/>
      <c r="Q243" s="6"/>
      <c r="R243" s="6"/>
    </row>
    <row r="244" spans="1:19" ht="33.75" customHeight="1" x14ac:dyDescent="0.2">
      <c r="A244" s="7"/>
      <c r="B244" s="206" t="s">
        <v>183</v>
      </c>
      <c r="C244" s="346" t="s">
        <v>377</v>
      </c>
      <c r="D244" s="10">
        <f>+D246+D248</f>
        <v>2300000000</v>
      </c>
      <c r="E244" s="10">
        <f t="shared" ref="E244:F244" si="129">+E246+E248</f>
        <v>0</v>
      </c>
      <c r="F244" s="10">
        <f t="shared" si="129"/>
        <v>2300000000</v>
      </c>
      <c r="G244" s="312">
        <f t="shared" ref="G244:H244" si="130">+G250</f>
        <v>1309498567</v>
      </c>
      <c r="H244" s="11">
        <f t="shared" si="130"/>
        <v>117888008</v>
      </c>
      <c r="I244" s="10">
        <f>+G244+H244</f>
        <v>1427386575</v>
      </c>
      <c r="J244" s="168">
        <f>+I244/F244</f>
        <v>0.62060285869565213</v>
      </c>
      <c r="K244" s="312">
        <f t="shared" ref="K244:L244" si="131">+K246+K248</f>
        <v>1309498567</v>
      </c>
      <c r="L244" s="10">
        <f t="shared" si="131"/>
        <v>117888008</v>
      </c>
      <c r="M244" s="10">
        <f>+K244+L244</f>
        <v>1427386575</v>
      </c>
      <c r="N244" s="169">
        <f>+M244/F244</f>
        <v>0.62060285869565213</v>
      </c>
      <c r="O244" s="10">
        <f>+F244-M244</f>
        <v>872613425</v>
      </c>
      <c r="P244" s="77"/>
      <c r="Q244" s="6" t="str">
        <f t="shared" ref="Q244:Q307" si="132">IF(M244&lt;=I244,"OKE","Salah")</f>
        <v>OKE</v>
      </c>
      <c r="R244" s="6"/>
    </row>
    <row r="245" spans="1:19" ht="15.95" customHeight="1" x14ac:dyDescent="0.2">
      <c r="A245" s="74"/>
      <c r="B245" s="74"/>
      <c r="C245" s="76"/>
      <c r="D245" s="15"/>
      <c r="E245" s="15"/>
      <c r="F245" s="15"/>
      <c r="G245" s="80"/>
      <c r="H245" s="79"/>
      <c r="I245" s="80"/>
      <c r="J245" s="86"/>
      <c r="K245" s="80"/>
      <c r="L245" s="76"/>
      <c r="M245" s="76"/>
      <c r="N245" s="86"/>
      <c r="O245" s="10"/>
      <c r="P245" s="77"/>
      <c r="Q245" s="6"/>
      <c r="R245" s="6"/>
    </row>
    <row r="246" spans="1:19" ht="15.95" customHeight="1" x14ac:dyDescent="0.2">
      <c r="A246" s="74">
        <v>16</v>
      </c>
      <c r="B246" s="207" t="s">
        <v>185</v>
      </c>
      <c r="C246" s="457" t="s">
        <v>184</v>
      </c>
      <c r="D246" s="13">
        <v>2100000000</v>
      </c>
      <c r="E246" s="14"/>
      <c r="F246" s="13">
        <f>+D246+E246</f>
        <v>2100000000</v>
      </c>
      <c r="G246" s="315">
        <f>+agt!I246</f>
        <v>1160563867</v>
      </c>
      <c r="H246" s="79">
        <f>59671008+46478000</f>
        <v>106149008</v>
      </c>
      <c r="I246" s="15">
        <f>+G246+H246</f>
        <v>1266712875</v>
      </c>
      <c r="J246" s="143">
        <f>+I246/F246</f>
        <v>0.60319660714285717</v>
      </c>
      <c r="K246" s="315">
        <f>+agt!M246</f>
        <v>1160563867</v>
      </c>
      <c r="L246" s="80">
        <f>59671008+46478000</f>
        <v>106149008</v>
      </c>
      <c r="M246" s="80">
        <f>+K246+L246</f>
        <v>1266712875</v>
      </c>
      <c r="N246" s="171">
        <f>+M246/F246</f>
        <v>0.60319660714285717</v>
      </c>
      <c r="O246" s="15">
        <f>+F246-M246</f>
        <v>833287125</v>
      </c>
      <c r="P246" s="77"/>
      <c r="Q246" s="6" t="str">
        <f t="shared" si="132"/>
        <v>OKE</v>
      </c>
      <c r="R246" s="6"/>
    </row>
    <row r="247" spans="1:19" ht="21" customHeight="1" x14ac:dyDescent="0.2">
      <c r="A247" s="74"/>
      <c r="B247" s="29"/>
      <c r="C247" s="457"/>
      <c r="D247" s="13"/>
      <c r="E247" s="14"/>
      <c r="F247" s="13"/>
      <c r="G247" s="78"/>
      <c r="H247" s="79"/>
      <c r="I247" s="15"/>
      <c r="J247" s="143"/>
      <c r="K247" s="80"/>
      <c r="L247" s="80"/>
      <c r="M247" s="80"/>
      <c r="N247" s="171"/>
      <c r="O247" s="15"/>
      <c r="P247" s="77"/>
      <c r="Q247" s="6"/>
      <c r="R247" s="6"/>
    </row>
    <row r="248" spans="1:19" ht="30.75" customHeight="1" x14ac:dyDescent="0.2">
      <c r="A248" s="74">
        <v>17</v>
      </c>
      <c r="B248" s="207" t="s">
        <v>186</v>
      </c>
      <c r="C248" s="276" t="s">
        <v>187</v>
      </c>
      <c r="D248" s="213">
        <v>200000000</v>
      </c>
      <c r="E248" s="14"/>
      <c r="F248" s="13">
        <f>+D248+E248</f>
        <v>200000000</v>
      </c>
      <c r="G248" s="80">
        <f>+agt!I248</f>
        <v>148934700</v>
      </c>
      <c r="H248" s="79">
        <v>11739000</v>
      </c>
      <c r="I248" s="15">
        <f>+G248+H248</f>
        <v>160673700</v>
      </c>
      <c r="J248" s="143">
        <f>+I248/F248</f>
        <v>0.80336850000000004</v>
      </c>
      <c r="K248" s="80">
        <f>+agt!M248</f>
        <v>148934700</v>
      </c>
      <c r="L248" s="80">
        <v>11739000</v>
      </c>
      <c r="M248" s="80">
        <f>+K248+L248</f>
        <v>160673700</v>
      </c>
      <c r="N248" s="171">
        <f>+M248/F248</f>
        <v>0.80336850000000004</v>
      </c>
      <c r="O248" s="15">
        <f>+F248-M248</f>
        <v>39326300</v>
      </c>
      <c r="P248" s="77"/>
      <c r="Q248" s="6" t="str">
        <f t="shared" ref="Q248" si="133">IF(M248&lt;=I248,"OKE","Salah")</f>
        <v>OKE</v>
      </c>
      <c r="R248" s="6"/>
    </row>
    <row r="249" spans="1:19" ht="15.95" customHeight="1" x14ac:dyDescent="0.2">
      <c r="A249" s="74"/>
      <c r="B249" s="74"/>
      <c r="C249" s="76"/>
      <c r="D249" s="15"/>
      <c r="E249" s="15"/>
      <c r="F249" s="15"/>
      <c r="G249" s="80"/>
      <c r="H249" s="79"/>
      <c r="I249" s="80"/>
      <c r="J249" s="86"/>
      <c r="K249" s="80"/>
      <c r="L249" s="76"/>
      <c r="M249" s="76"/>
      <c r="N249" s="86"/>
      <c r="O249" s="10"/>
      <c r="P249" s="77"/>
      <c r="Q249" s="6"/>
      <c r="R249" s="6"/>
      <c r="S249" s="309">
        <f>+S462+S466</f>
        <v>1675148111</v>
      </c>
    </row>
    <row r="250" spans="1:19" ht="20.25" customHeight="1" x14ac:dyDescent="0.2">
      <c r="A250" s="139"/>
      <c r="B250" s="139"/>
      <c r="C250" s="140" t="s">
        <v>113</v>
      </c>
      <c r="D250" s="141">
        <f>SUM(D246:D248)</f>
        <v>2300000000</v>
      </c>
      <c r="E250" s="141">
        <f t="shared" ref="E250" si="134">SUM(E246:E248)</f>
        <v>0</v>
      </c>
      <c r="F250" s="141">
        <f>+D250+E250</f>
        <v>2300000000</v>
      </c>
      <c r="G250" s="313">
        <f>SUM(G246:G248)</f>
        <v>1309498567</v>
      </c>
      <c r="H250" s="141">
        <f>SUM(H246:H248)</f>
        <v>117888008</v>
      </c>
      <c r="I250" s="141">
        <f>+G250+H250</f>
        <v>1427386575</v>
      </c>
      <c r="J250" s="176">
        <f>+I250/F250</f>
        <v>0.62060285869565213</v>
      </c>
      <c r="K250" s="313">
        <f t="shared" ref="K250:L250" si="135">SUM(K246:K248)</f>
        <v>1309498567</v>
      </c>
      <c r="L250" s="141">
        <f t="shared" si="135"/>
        <v>117888008</v>
      </c>
      <c r="M250" s="141">
        <f>+M246+M248</f>
        <v>1427386575</v>
      </c>
      <c r="N250" s="173">
        <f>+M250/F250</f>
        <v>0.62060285869565213</v>
      </c>
      <c r="O250" s="141">
        <f>+D250-M250</f>
        <v>872613425</v>
      </c>
      <c r="P250" s="77"/>
      <c r="Q250" s="6" t="str">
        <f t="shared" si="132"/>
        <v>OKE</v>
      </c>
      <c r="R250" s="6"/>
    </row>
    <row r="251" spans="1:19" ht="8.25" customHeight="1" x14ac:dyDescent="0.2">
      <c r="A251" s="74"/>
      <c r="B251" s="74"/>
      <c r="C251" s="9"/>
      <c r="D251" s="10"/>
      <c r="E251" s="10"/>
      <c r="F251" s="10"/>
      <c r="G251" s="10"/>
      <c r="H251" s="10"/>
      <c r="I251" s="10"/>
      <c r="J251" s="168"/>
      <c r="K251" s="10"/>
      <c r="L251" s="10"/>
      <c r="M251" s="10"/>
      <c r="N251" s="169"/>
      <c r="O251" s="10"/>
      <c r="P251" s="77"/>
      <c r="Q251" s="6"/>
      <c r="R251" s="6"/>
    </row>
    <row r="252" spans="1:19" ht="15.95" customHeight="1" x14ac:dyDescent="0.2">
      <c r="A252" s="74"/>
      <c r="B252" s="74"/>
      <c r="C252" s="9"/>
      <c r="D252" s="10"/>
      <c r="E252" s="10"/>
      <c r="F252" s="10"/>
      <c r="G252" s="10"/>
      <c r="H252" s="11"/>
      <c r="I252" s="10"/>
      <c r="J252" s="176"/>
      <c r="K252" s="10"/>
      <c r="L252" s="10"/>
      <c r="M252" s="10"/>
      <c r="N252" s="169"/>
      <c r="O252" s="10"/>
      <c r="P252" s="77"/>
      <c r="Q252" s="6"/>
      <c r="R252" s="6"/>
      <c r="S252" s="190">
        <f>+S462+S466</f>
        <v>1675148111</v>
      </c>
    </row>
    <row r="253" spans="1:19" ht="11.25" customHeight="1" x14ac:dyDescent="0.2">
      <c r="A253" s="388"/>
      <c r="B253" s="388"/>
      <c r="C253" s="395" t="s">
        <v>76</v>
      </c>
      <c r="D253" s="364">
        <f>+D198+D212+D226+D236+D242+D250+D190</f>
        <v>12324425000</v>
      </c>
      <c r="E253" s="364">
        <f>+E212+E226+E236+E250</f>
        <v>0</v>
      </c>
      <c r="F253" s="364">
        <f>+D253+E253</f>
        <v>12324425000</v>
      </c>
      <c r="G253" s="455">
        <f>+G198+G212+G226+G236+G242+G250+G190+G218</f>
        <v>8343368830</v>
      </c>
      <c r="H253" s="364">
        <f>+H198+H212+H226+H236+H242+H250+H218+H190</f>
        <v>531043662</v>
      </c>
      <c r="I253" s="364">
        <f>+G253+H253</f>
        <v>8874412492</v>
      </c>
      <c r="J253" s="408">
        <f>+I253/F253</f>
        <v>0.72006706130306286</v>
      </c>
      <c r="K253" s="455">
        <f>+K198+K212+K226+K236+K242+K250+K218+K190</f>
        <v>8327852049</v>
      </c>
      <c r="L253" s="364">
        <f>+L198+L212+L226+L236+L242+L250+L218+L190</f>
        <v>531043662</v>
      </c>
      <c r="M253" s="364">
        <f>+K253+L253</f>
        <v>8858895711</v>
      </c>
      <c r="N253" s="366">
        <f>+M253/F253</f>
        <v>0.7188080345330512</v>
      </c>
      <c r="O253" s="364">
        <f>+F253-M253</f>
        <v>3465529289</v>
      </c>
      <c r="P253" s="77"/>
      <c r="Q253" s="6" t="str">
        <f t="shared" si="132"/>
        <v>OKE</v>
      </c>
      <c r="R253" s="6"/>
    </row>
    <row r="254" spans="1:19" ht="15" thickBot="1" x14ac:dyDescent="0.25">
      <c r="A254" s="389"/>
      <c r="B254" s="389"/>
      <c r="C254" s="396"/>
      <c r="D254" s="396"/>
      <c r="E254" s="396"/>
      <c r="F254" s="396"/>
      <c r="G254" s="456"/>
      <c r="H254" s="396"/>
      <c r="I254" s="396"/>
      <c r="J254" s="409"/>
      <c r="K254" s="456"/>
      <c r="L254" s="396"/>
      <c r="M254" s="396"/>
      <c r="N254" s="367"/>
      <c r="O254" s="396"/>
      <c r="P254" s="83"/>
      <c r="Q254" s="6" t="str">
        <f t="shared" si="132"/>
        <v>OKE</v>
      </c>
      <c r="R254" s="6"/>
      <c r="S254" s="190">
        <f>+S475-245000</f>
        <v>85715300</v>
      </c>
    </row>
    <row r="255" spans="1:19" ht="15" hidden="1" thickBot="1" x14ac:dyDescent="0.25">
      <c r="B255" s="88"/>
      <c r="C255" s="77"/>
      <c r="D255" s="31"/>
      <c r="E255" s="31"/>
      <c r="F255" s="31"/>
      <c r="G255" s="179"/>
      <c r="H255" s="258"/>
      <c r="I255" s="179"/>
      <c r="J255" s="179"/>
      <c r="K255" s="179"/>
      <c r="L255" s="77"/>
      <c r="M255" s="77"/>
      <c r="N255" s="77"/>
      <c r="O255" s="77"/>
      <c r="P255" s="77"/>
      <c r="Q255" s="6" t="str">
        <f t="shared" si="132"/>
        <v>OKE</v>
      </c>
      <c r="R255" s="6"/>
    </row>
    <row r="256" spans="1:19" ht="15" hidden="1" thickBot="1" x14ac:dyDescent="0.25">
      <c r="B256" s="88"/>
      <c r="C256" s="77"/>
      <c r="D256" s="31"/>
      <c r="E256" s="31"/>
      <c r="F256" s="31"/>
      <c r="G256" s="179"/>
      <c r="H256" s="258"/>
      <c r="I256" s="179"/>
      <c r="J256" s="179"/>
      <c r="K256" s="179"/>
      <c r="L256" s="77"/>
      <c r="M256" s="77"/>
      <c r="N256" s="77"/>
      <c r="O256" s="77"/>
      <c r="P256" s="77"/>
      <c r="Q256" s="6" t="str">
        <f t="shared" si="132"/>
        <v>OKE</v>
      </c>
      <c r="R256" s="6"/>
    </row>
    <row r="257" spans="1:18" ht="15" hidden="1" thickBot="1" x14ac:dyDescent="0.25">
      <c r="B257" s="88"/>
      <c r="C257" s="77"/>
      <c r="D257" s="31"/>
      <c r="E257" s="31"/>
      <c r="F257" s="31"/>
      <c r="G257" s="179"/>
      <c r="H257" s="258"/>
      <c r="I257" s="179"/>
      <c r="J257" s="179"/>
      <c r="K257" s="179"/>
      <c r="L257" s="77"/>
      <c r="M257" s="77"/>
      <c r="N257" s="77"/>
      <c r="O257" s="77"/>
      <c r="P257" s="77"/>
      <c r="Q257" s="6" t="str">
        <f t="shared" si="132"/>
        <v>OKE</v>
      </c>
      <c r="R257" s="6"/>
    </row>
    <row r="258" spans="1:18" ht="15" hidden="1" thickBot="1" x14ac:dyDescent="0.25">
      <c r="B258" s="88"/>
      <c r="C258" s="77"/>
      <c r="D258" s="31"/>
      <c r="E258" s="31"/>
      <c r="F258" s="31"/>
      <c r="G258" s="179"/>
      <c r="H258" s="258"/>
      <c r="I258" s="179"/>
      <c r="J258" s="179"/>
      <c r="K258" s="179"/>
      <c r="L258" s="77"/>
      <c r="M258" s="77"/>
      <c r="N258" s="77"/>
      <c r="O258" s="77"/>
      <c r="P258" s="77"/>
      <c r="Q258" s="6" t="str">
        <f t="shared" si="132"/>
        <v>OKE</v>
      </c>
      <c r="R258" s="6"/>
    </row>
    <row r="259" spans="1:18" ht="15" hidden="1" thickBot="1" x14ac:dyDescent="0.25">
      <c r="B259" s="88"/>
      <c r="C259" s="77"/>
      <c r="D259" s="31"/>
      <c r="E259" s="31"/>
      <c r="F259" s="31"/>
      <c r="G259" s="179"/>
      <c r="H259" s="258"/>
      <c r="I259" s="179"/>
      <c r="J259" s="179"/>
      <c r="K259" s="179"/>
      <c r="L259" s="77"/>
      <c r="M259" s="77"/>
      <c r="N259" s="77"/>
      <c r="O259" s="77"/>
      <c r="P259" s="77"/>
      <c r="Q259" s="6" t="str">
        <f t="shared" si="132"/>
        <v>OKE</v>
      </c>
      <c r="R259" s="6"/>
    </row>
    <row r="260" spans="1:18" ht="15" hidden="1" thickBot="1" x14ac:dyDescent="0.25">
      <c r="B260" s="88"/>
      <c r="C260" s="77"/>
      <c r="D260" s="31"/>
      <c r="E260" s="31"/>
      <c r="F260" s="31"/>
      <c r="G260" s="179"/>
      <c r="H260" s="258"/>
      <c r="I260" s="179"/>
      <c r="J260" s="179"/>
      <c r="K260" s="179"/>
      <c r="L260" s="77"/>
      <c r="M260" s="77"/>
      <c r="N260" s="77"/>
      <c r="O260" s="77"/>
      <c r="P260" s="77"/>
      <c r="Q260" s="6" t="str">
        <f t="shared" si="132"/>
        <v>OKE</v>
      </c>
      <c r="R260" s="6"/>
    </row>
    <row r="261" spans="1:18" ht="15" hidden="1" thickBot="1" x14ac:dyDescent="0.25">
      <c r="B261" s="88"/>
      <c r="C261" s="77"/>
      <c r="D261" s="31"/>
      <c r="E261" s="31"/>
      <c r="F261" s="31"/>
      <c r="G261" s="179"/>
      <c r="H261" s="258"/>
      <c r="I261" s="179"/>
      <c r="J261" s="179"/>
      <c r="K261" s="179"/>
      <c r="L261" s="77"/>
      <c r="M261" s="77"/>
      <c r="N261" s="77"/>
      <c r="O261" s="77"/>
      <c r="P261" s="77"/>
      <c r="Q261" s="6" t="str">
        <f t="shared" si="132"/>
        <v>OKE</v>
      </c>
      <c r="R261" s="6"/>
    </row>
    <row r="262" spans="1:18" ht="15" hidden="1" thickBot="1" x14ac:dyDescent="0.25">
      <c r="B262" s="88"/>
      <c r="C262" s="77"/>
      <c r="D262" s="31"/>
      <c r="E262" s="31"/>
      <c r="F262" s="31"/>
      <c r="G262" s="179"/>
      <c r="H262" s="258"/>
      <c r="I262" s="179"/>
      <c r="J262" s="179"/>
      <c r="K262" s="179"/>
      <c r="L262" s="77"/>
      <c r="M262" s="77"/>
      <c r="N262" s="77"/>
      <c r="O262" s="77"/>
      <c r="P262" s="77"/>
      <c r="Q262" s="6" t="str">
        <f t="shared" si="132"/>
        <v>OKE</v>
      </c>
      <c r="R262" s="6"/>
    </row>
    <row r="263" spans="1:18" ht="15" hidden="1" thickBot="1" x14ac:dyDescent="0.25">
      <c r="B263" s="88"/>
      <c r="C263" s="77"/>
      <c r="D263" s="31"/>
      <c r="E263" s="31"/>
      <c r="F263" s="31"/>
      <c r="G263" s="179"/>
      <c r="H263" s="258"/>
      <c r="I263" s="179"/>
      <c r="J263" s="179"/>
      <c r="K263" s="179"/>
      <c r="L263" s="77"/>
      <c r="M263" s="77"/>
      <c r="N263" s="77"/>
      <c r="O263" s="77"/>
      <c r="P263" s="77"/>
      <c r="Q263" s="6" t="str">
        <f t="shared" si="132"/>
        <v>OKE</v>
      </c>
      <c r="R263" s="6"/>
    </row>
    <row r="264" spans="1:18" ht="15" hidden="1" thickBot="1" x14ac:dyDescent="0.25">
      <c r="B264" s="88"/>
      <c r="C264" s="77"/>
      <c r="D264" s="31"/>
      <c r="E264" s="31"/>
      <c r="F264" s="31"/>
      <c r="G264" s="179"/>
      <c r="H264" s="258"/>
      <c r="I264" s="179"/>
      <c r="J264" s="179"/>
      <c r="K264" s="179"/>
      <c r="L264" s="77"/>
      <c r="M264" s="77"/>
      <c r="N264" s="77"/>
      <c r="O264" s="77"/>
      <c r="P264" s="77"/>
      <c r="Q264" s="6" t="str">
        <f t="shared" si="132"/>
        <v>OKE</v>
      </c>
      <c r="R264" s="6"/>
    </row>
    <row r="265" spans="1:18" ht="15" hidden="1" thickBot="1" x14ac:dyDescent="0.25">
      <c r="B265" s="88"/>
      <c r="C265" s="77"/>
      <c r="D265" s="31"/>
      <c r="E265" s="31"/>
      <c r="F265" s="31"/>
      <c r="G265" s="179"/>
      <c r="H265" s="258"/>
      <c r="I265" s="179"/>
      <c r="J265" s="179"/>
      <c r="K265" s="179"/>
      <c r="L265" s="77"/>
      <c r="M265" s="77"/>
      <c r="N265" s="77"/>
      <c r="O265" s="77"/>
      <c r="P265" s="77"/>
      <c r="Q265" s="6" t="str">
        <f t="shared" si="132"/>
        <v>OKE</v>
      </c>
      <c r="R265" s="6"/>
    </row>
    <row r="266" spans="1:18" ht="15" hidden="1" thickBot="1" x14ac:dyDescent="0.25">
      <c r="B266" s="88"/>
      <c r="C266" s="77"/>
      <c r="D266" s="31"/>
      <c r="E266" s="31"/>
      <c r="F266" s="31"/>
      <c r="G266" s="179"/>
      <c r="H266" s="258"/>
      <c r="I266" s="179"/>
      <c r="J266" s="179"/>
      <c r="K266" s="179"/>
      <c r="L266" s="77"/>
      <c r="M266" s="77"/>
      <c r="N266" s="77"/>
      <c r="O266" s="77"/>
      <c r="P266" s="77"/>
      <c r="Q266" s="6" t="str">
        <f t="shared" si="132"/>
        <v>OKE</v>
      </c>
      <c r="R266" s="6"/>
    </row>
    <row r="267" spans="1:18" ht="14.1" hidden="1" customHeight="1" x14ac:dyDescent="0.2">
      <c r="A267" s="410" t="s">
        <v>0</v>
      </c>
      <c r="B267" s="410"/>
      <c r="C267" s="410"/>
      <c r="D267" s="410"/>
      <c r="E267" s="410"/>
      <c r="F267" s="410"/>
      <c r="G267" s="410"/>
      <c r="H267" s="410"/>
      <c r="I267" s="410"/>
      <c r="J267" s="410"/>
      <c r="K267" s="410"/>
      <c r="L267" s="410"/>
      <c r="M267" s="410"/>
      <c r="N267" s="410"/>
      <c r="O267" s="410"/>
      <c r="P267" s="77"/>
      <c r="Q267" s="6" t="str">
        <f t="shared" si="132"/>
        <v>OKE</v>
      </c>
      <c r="R267" s="6"/>
    </row>
    <row r="268" spans="1:18" ht="14.1" hidden="1" customHeight="1" x14ac:dyDescent="0.2">
      <c r="A268" s="410" t="s">
        <v>130</v>
      </c>
      <c r="B268" s="410"/>
      <c r="C268" s="410"/>
      <c r="D268" s="410"/>
      <c r="E268" s="410"/>
      <c r="F268" s="410"/>
      <c r="G268" s="410"/>
      <c r="H268" s="410"/>
      <c r="I268" s="410"/>
      <c r="J268" s="410"/>
      <c r="K268" s="410"/>
      <c r="L268" s="410"/>
      <c r="M268" s="410"/>
      <c r="N268" s="410"/>
      <c r="O268" s="410"/>
      <c r="P268" s="77"/>
      <c r="Q268" s="6" t="str">
        <f t="shared" si="132"/>
        <v>OKE</v>
      </c>
      <c r="R268" s="6"/>
    </row>
    <row r="269" spans="1:18" ht="14.1" hidden="1" customHeight="1" x14ac:dyDescent="0.2">
      <c r="A269" s="407" t="s">
        <v>131</v>
      </c>
      <c r="B269" s="407"/>
      <c r="C269" s="407"/>
      <c r="D269" s="407"/>
      <c r="E269" s="407"/>
      <c r="F269" s="407"/>
      <c r="G269" s="407"/>
      <c r="H269" s="407"/>
      <c r="I269" s="407"/>
      <c r="J269" s="407"/>
      <c r="K269" s="407"/>
      <c r="L269" s="407"/>
      <c r="M269" s="407"/>
      <c r="N269" s="407"/>
      <c r="O269" s="407"/>
      <c r="P269" s="77"/>
      <c r="Q269" s="6" t="str">
        <f t="shared" si="132"/>
        <v>OKE</v>
      </c>
      <c r="R269" s="6"/>
    </row>
    <row r="270" spans="1:18" ht="14.1" hidden="1" customHeight="1" x14ac:dyDescent="0.2">
      <c r="A270" s="361" t="s">
        <v>2</v>
      </c>
      <c r="B270" s="361" t="s">
        <v>3</v>
      </c>
      <c r="C270" s="361" t="s">
        <v>4</v>
      </c>
      <c r="D270" s="361" t="s">
        <v>5</v>
      </c>
      <c r="E270" s="197"/>
      <c r="F270" s="197"/>
      <c r="G270" s="358" t="s">
        <v>11</v>
      </c>
      <c r="H270" s="359"/>
      <c r="I270" s="359"/>
      <c r="J270" s="360"/>
      <c r="K270" s="358" t="s">
        <v>9</v>
      </c>
      <c r="L270" s="359"/>
      <c r="M270" s="359"/>
      <c r="N270" s="360"/>
      <c r="O270" s="361" t="s">
        <v>10</v>
      </c>
      <c r="P270" s="77"/>
      <c r="Q270" s="6" t="str">
        <f t="shared" si="132"/>
        <v>OKE</v>
      </c>
      <c r="R270" s="6"/>
    </row>
    <row r="271" spans="1:18" ht="14.1" hidden="1" customHeight="1" x14ac:dyDescent="0.2">
      <c r="A271" s="362"/>
      <c r="B271" s="362"/>
      <c r="C271" s="362"/>
      <c r="D271" s="362"/>
      <c r="E271" s="44"/>
      <c r="F271" s="44"/>
      <c r="G271" s="358" t="s">
        <v>74</v>
      </c>
      <c r="H271" s="359"/>
      <c r="I271" s="359"/>
      <c r="J271" s="360"/>
      <c r="K271" s="358" t="s">
        <v>12</v>
      </c>
      <c r="L271" s="359"/>
      <c r="M271" s="359"/>
      <c r="N271" s="360"/>
      <c r="O271" s="362"/>
      <c r="P271" s="77"/>
      <c r="Q271" s="6" t="str">
        <f t="shared" si="132"/>
        <v>OKE</v>
      </c>
      <c r="R271" s="6"/>
    </row>
    <row r="272" spans="1:18" ht="15" hidden="1" thickBot="1" x14ac:dyDescent="0.25">
      <c r="A272" s="363"/>
      <c r="B272" s="363"/>
      <c r="C272" s="363"/>
      <c r="D272" s="363"/>
      <c r="E272" s="196"/>
      <c r="F272" s="196"/>
      <c r="G272" s="144" t="s">
        <v>13</v>
      </c>
      <c r="H272" s="145" t="s">
        <v>14</v>
      </c>
      <c r="I272" s="144" t="s">
        <v>15</v>
      </c>
      <c r="J272" s="144" t="s">
        <v>16</v>
      </c>
      <c r="K272" s="144" t="s">
        <v>13</v>
      </c>
      <c r="L272" s="144" t="s">
        <v>14</v>
      </c>
      <c r="M272" s="144" t="s">
        <v>15</v>
      </c>
      <c r="N272" s="144" t="s">
        <v>16</v>
      </c>
      <c r="O272" s="363"/>
      <c r="P272" s="77"/>
      <c r="Q272" s="6" t="str">
        <f t="shared" si="132"/>
        <v>OKE</v>
      </c>
      <c r="R272" s="6"/>
    </row>
    <row r="273" spans="1:18" ht="15" hidden="1" thickBot="1" x14ac:dyDescent="0.25">
      <c r="A273" s="2">
        <v>1</v>
      </c>
      <c r="B273" s="2">
        <v>2</v>
      </c>
      <c r="C273" s="2">
        <v>3</v>
      </c>
      <c r="D273" s="2">
        <v>4</v>
      </c>
      <c r="E273" s="2"/>
      <c r="F273" s="2"/>
      <c r="G273" s="2">
        <v>5</v>
      </c>
      <c r="H273" s="145">
        <v>6</v>
      </c>
      <c r="I273" s="45" t="s">
        <v>77</v>
      </c>
      <c r="J273" s="45" t="s">
        <v>78</v>
      </c>
      <c r="K273" s="45">
        <v>9</v>
      </c>
      <c r="L273" s="45">
        <v>10</v>
      </c>
      <c r="M273" s="45" t="s">
        <v>79</v>
      </c>
      <c r="N273" s="45" t="s">
        <v>80</v>
      </c>
      <c r="O273" s="45" t="s">
        <v>81</v>
      </c>
      <c r="P273" s="77"/>
      <c r="Q273" s="6" t="str">
        <f t="shared" si="132"/>
        <v>OKE</v>
      </c>
      <c r="R273" s="6"/>
    </row>
    <row r="274" spans="1:18" ht="15" hidden="1" thickBot="1" x14ac:dyDescent="0.25">
      <c r="A274" s="74"/>
      <c r="B274" s="76"/>
      <c r="C274" s="76"/>
      <c r="D274" s="8"/>
      <c r="E274" s="8"/>
      <c r="F274" s="8"/>
      <c r="G274" s="76"/>
      <c r="H274" s="82"/>
      <c r="I274" s="76"/>
      <c r="J274" s="76"/>
      <c r="K274" s="76"/>
      <c r="L274" s="76"/>
      <c r="M274" s="76"/>
      <c r="N274" s="241"/>
      <c r="O274" s="241"/>
      <c r="P274" s="77"/>
      <c r="Q274" s="6" t="str">
        <f t="shared" si="132"/>
        <v>OKE</v>
      </c>
      <c r="R274" s="6"/>
    </row>
    <row r="275" spans="1:18" ht="15" hidden="1" thickBot="1" x14ac:dyDescent="0.25">
      <c r="A275" s="74"/>
      <c r="B275" s="76"/>
      <c r="C275" s="244" t="s">
        <v>82</v>
      </c>
      <c r="D275" s="8"/>
      <c r="E275" s="8"/>
      <c r="F275" s="8"/>
      <c r="G275" s="76"/>
      <c r="H275" s="82"/>
      <c r="I275" s="76"/>
      <c r="J275" s="76"/>
      <c r="K275" s="76"/>
      <c r="L275" s="76"/>
      <c r="M275" s="76"/>
      <c r="N275" s="76"/>
      <c r="O275" s="76"/>
      <c r="P275" s="77"/>
      <c r="Q275" s="6" t="str">
        <f t="shared" si="132"/>
        <v>OKE</v>
      </c>
      <c r="R275" s="6"/>
    </row>
    <row r="276" spans="1:18" ht="15" hidden="1" thickBot="1" x14ac:dyDescent="0.25">
      <c r="A276" s="74"/>
      <c r="B276" s="76"/>
      <c r="C276" s="76"/>
      <c r="D276" s="8"/>
      <c r="E276" s="8"/>
      <c r="F276" s="8"/>
      <c r="G276" s="76"/>
      <c r="H276" s="82"/>
      <c r="I276" s="76"/>
      <c r="J276" s="76"/>
      <c r="K276" s="76"/>
      <c r="L276" s="76"/>
      <c r="M276" s="76"/>
      <c r="N276" s="76"/>
      <c r="O276" s="76"/>
      <c r="P276" s="77"/>
      <c r="Q276" s="6" t="str">
        <f t="shared" si="132"/>
        <v>OKE</v>
      </c>
      <c r="R276" s="6"/>
    </row>
    <row r="277" spans="1:18" ht="15" hidden="1" thickBot="1" x14ac:dyDescent="0.25">
      <c r="A277" s="7" t="s">
        <v>22</v>
      </c>
      <c r="B277" s="7" t="s">
        <v>23</v>
      </c>
      <c r="C277" s="9" t="s">
        <v>45</v>
      </c>
      <c r="D277" s="10">
        <f>+D279+D284+D286+D288</f>
        <v>352575000</v>
      </c>
      <c r="E277" s="10"/>
      <c r="F277" s="10"/>
      <c r="G277" s="10">
        <f>+G279+G284+G286+G288</f>
        <v>130595000</v>
      </c>
      <c r="H277" s="11">
        <f>+H279+H284+H286+H288</f>
        <v>200225000</v>
      </c>
      <c r="I277" s="10">
        <f>+G277+H277</f>
        <v>330820000</v>
      </c>
      <c r="J277" s="12">
        <f>+I277/D277</f>
        <v>0.9382968162802241</v>
      </c>
      <c r="K277" s="10">
        <f>+K279+K284+K286+K288</f>
        <v>124051000</v>
      </c>
      <c r="L277" s="10">
        <f>+L279+L284+L286+L288</f>
        <v>199372700</v>
      </c>
      <c r="M277" s="10">
        <f>+K277+L277</f>
        <v>323423700</v>
      </c>
      <c r="N277" s="12">
        <f>+M277/D277</f>
        <v>0.91731886832588816</v>
      </c>
      <c r="O277" s="10">
        <f>+D277-I277</f>
        <v>21755000</v>
      </c>
      <c r="P277" s="77"/>
      <c r="Q277" s="6" t="str">
        <f t="shared" si="132"/>
        <v>OKE</v>
      </c>
      <c r="R277" s="6"/>
    </row>
    <row r="278" spans="1:18" ht="15" hidden="1" thickBot="1" x14ac:dyDescent="0.25">
      <c r="A278" s="74"/>
      <c r="B278" s="74"/>
      <c r="C278" s="76"/>
      <c r="D278" s="15"/>
      <c r="E278" s="15"/>
      <c r="F278" s="15"/>
      <c r="G278" s="80"/>
      <c r="H278" s="79"/>
      <c r="I278" s="80"/>
      <c r="J278" s="80"/>
      <c r="K278" s="80"/>
      <c r="L278" s="76"/>
      <c r="M278" s="76"/>
      <c r="N278" s="76"/>
      <c r="O278" s="76"/>
      <c r="P278" s="77"/>
      <c r="Q278" s="6" t="str">
        <f t="shared" si="132"/>
        <v>OKE</v>
      </c>
      <c r="R278" s="6"/>
    </row>
    <row r="279" spans="1:18" ht="15" hidden="1" thickBot="1" x14ac:dyDescent="0.25">
      <c r="A279" s="74">
        <v>1</v>
      </c>
      <c r="B279" s="75" t="s">
        <v>39</v>
      </c>
      <c r="C279" s="76" t="s">
        <v>50</v>
      </c>
      <c r="D279" s="15">
        <v>255000000</v>
      </c>
      <c r="E279" s="15"/>
      <c r="F279" s="15"/>
      <c r="G279" s="80">
        <v>68220000</v>
      </c>
      <c r="H279" s="79">
        <v>173020000</v>
      </c>
      <c r="I279" s="15">
        <f>+G279+H279</f>
        <v>241240000</v>
      </c>
      <c r="J279" s="16">
        <f>+I279/D279</f>
        <v>0.94603921568627447</v>
      </c>
      <c r="K279" s="80">
        <v>65540000</v>
      </c>
      <c r="L279" s="80">
        <v>174070000</v>
      </c>
      <c r="M279" s="80">
        <f>+K279+L279</f>
        <v>239610000</v>
      </c>
      <c r="N279" s="16">
        <f>+M279/D279</f>
        <v>0.93964705882352939</v>
      </c>
      <c r="O279" s="80">
        <f>+D279-I279</f>
        <v>13760000</v>
      </c>
      <c r="P279" s="77"/>
      <c r="Q279" s="6" t="str">
        <f t="shared" si="132"/>
        <v>OKE</v>
      </c>
      <c r="R279" s="6"/>
    </row>
    <row r="280" spans="1:18" ht="15" hidden="1" thickBot="1" x14ac:dyDescent="0.25">
      <c r="A280" s="74"/>
      <c r="B280" s="75"/>
      <c r="C280" s="76"/>
      <c r="D280" s="15"/>
      <c r="E280" s="15"/>
      <c r="F280" s="15"/>
      <c r="G280" s="80"/>
      <c r="H280" s="79"/>
      <c r="I280" s="15"/>
      <c r="J280" s="16"/>
      <c r="K280" s="80"/>
      <c r="L280" s="80"/>
      <c r="M280" s="80"/>
      <c r="N280" s="16"/>
      <c r="O280" s="80"/>
      <c r="P280" s="77"/>
      <c r="Q280" s="6" t="str">
        <f t="shared" si="132"/>
        <v>OKE</v>
      </c>
      <c r="R280" s="6"/>
    </row>
    <row r="281" spans="1:18" ht="15" hidden="1" thickBot="1" x14ac:dyDescent="0.25">
      <c r="A281" s="74"/>
      <c r="B281" s="18" t="s">
        <v>24</v>
      </c>
      <c r="C281" s="19" t="s">
        <v>25</v>
      </c>
      <c r="D281" s="20">
        <v>44275000</v>
      </c>
      <c r="E281" s="20"/>
      <c r="F281" s="20"/>
      <c r="G281" s="20">
        <v>33022500</v>
      </c>
      <c r="H281" s="21">
        <v>2527500</v>
      </c>
      <c r="I281" s="20">
        <f>+G281+H281</f>
        <v>35550000</v>
      </c>
      <c r="J281" s="22">
        <f>+I281/D281</f>
        <v>0.80293619424054208</v>
      </c>
      <c r="K281" s="20">
        <v>27217500</v>
      </c>
      <c r="L281" s="20">
        <v>0</v>
      </c>
      <c r="M281" s="20">
        <f>+K281+L281</f>
        <v>27217500</v>
      </c>
      <c r="N281" s="22">
        <f>+M281/D281</f>
        <v>0.61473743647656687</v>
      </c>
      <c r="O281" s="20">
        <f>+D281-I281</f>
        <v>8725000</v>
      </c>
      <c r="P281" s="77"/>
      <c r="Q281" s="6" t="str">
        <f t="shared" si="132"/>
        <v>OKE</v>
      </c>
      <c r="R281" s="6"/>
    </row>
    <row r="282" spans="1:18" ht="15" hidden="1" thickBot="1" x14ac:dyDescent="0.25">
      <c r="A282" s="74"/>
      <c r="B282" s="18" t="s">
        <v>24</v>
      </c>
      <c r="C282" s="19" t="s">
        <v>28</v>
      </c>
      <c r="D282" s="20">
        <v>-11700000</v>
      </c>
      <c r="E282" s="20"/>
      <c r="F282" s="20"/>
      <c r="G282" s="20">
        <v>0</v>
      </c>
      <c r="H282" s="21">
        <v>-8825000</v>
      </c>
      <c r="I282" s="20">
        <f>+G282+H282</f>
        <v>-8825000</v>
      </c>
      <c r="J282" s="22"/>
      <c r="K282" s="20"/>
      <c r="L282" s="20">
        <v>-8825000</v>
      </c>
      <c r="M282" s="20">
        <f>+K282+L282</f>
        <v>-8825000</v>
      </c>
      <c r="N282" s="22"/>
      <c r="O282" s="20"/>
      <c r="P282" s="77"/>
      <c r="Q282" s="6" t="str">
        <f t="shared" si="132"/>
        <v>OKE</v>
      </c>
      <c r="R282" s="6"/>
    </row>
    <row r="283" spans="1:18" ht="15" hidden="1" thickBot="1" x14ac:dyDescent="0.25">
      <c r="A283" s="74"/>
      <c r="B283" s="74"/>
      <c r="C283" s="76"/>
      <c r="D283" s="15"/>
      <c r="E283" s="15"/>
      <c r="F283" s="15"/>
      <c r="G283" s="80"/>
      <c r="H283" s="79"/>
      <c r="I283" s="80"/>
      <c r="J283" s="80"/>
      <c r="K283" s="80"/>
      <c r="L283" s="76"/>
      <c r="M283" s="76"/>
      <c r="N283" s="76"/>
      <c r="O283" s="76"/>
      <c r="P283" s="77"/>
      <c r="Q283" s="6" t="str">
        <f t="shared" si="132"/>
        <v>OKE</v>
      </c>
      <c r="R283" s="6"/>
    </row>
    <row r="284" spans="1:18" ht="15" hidden="1" thickBot="1" x14ac:dyDescent="0.25">
      <c r="A284" s="74">
        <v>2</v>
      </c>
      <c r="B284" s="75" t="s">
        <v>24</v>
      </c>
      <c r="C284" s="76" t="s">
        <v>25</v>
      </c>
      <c r="D284" s="15">
        <v>32575000</v>
      </c>
      <c r="E284" s="15"/>
      <c r="F284" s="15"/>
      <c r="G284" s="80">
        <v>26725000</v>
      </c>
      <c r="H284" s="79">
        <v>5055000</v>
      </c>
      <c r="I284" s="15">
        <f>+G284+H284</f>
        <v>31780000</v>
      </c>
      <c r="J284" s="16">
        <f>+I284/D284</f>
        <v>0.97559478127398314</v>
      </c>
      <c r="K284" s="80">
        <v>23622500</v>
      </c>
      <c r="L284" s="80">
        <v>7757500</v>
      </c>
      <c r="M284" s="80">
        <f>+K284+L284</f>
        <v>31380000</v>
      </c>
      <c r="N284" s="16">
        <f>+M284/D284</f>
        <v>0.96331542594013819</v>
      </c>
      <c r="O284" s="80">
        <f>+D284-I284</f>
        <v>795000</v>
      </c>
      <c r="P284" s="77"/>
      <c r="Q284" s="6" t="str">
        <f t="shared" si="132"/>
        <v>OKE</v>
      </c>
      <c r="R284" s="6"/>
    </row>
    <row r="285" spans="1:18" ht="15" hidden="1" thickBot="1" x14ac:dyDescent="0.25">
      <c r="A285" s="74"/>
      <c r="B285" s="74"/>
      <c r="C285" s="76"/>
      <c r="D285" s="15"/>
      <c r="E285" s="15"/>
      <c r="F285" s="15"/>
      <c r="G285" s="80"/>
      <c r="H285" s="79"/>
      <c r="I285" s="80"/>
      <c r="J285" s="80"/>
      <c r="K285" s="80"/>
      <c r="L285" s="93"/>
      <c r="M285" s="76"/>
      <c r="N285" s="76"/>
      <c r="O285" s="76"/>
      <c r="P285" s="77"/>
      <c r="Q285" s="6" t="str">
        <f t="shared" si="132"/>
        <v>OKE</v>
      </c>
      <c r="R285" s="6"/>
    </row>
    <row r="286" spans="1:18" ht="15" hidden="1" thickBot="1" x14ac:dyDescent="0.25">
      <c r="A286" s="74">
        <v>3</v>
      </c>
      <c r="B286" s="75" t="s">
        <v>46</v>
      </c>
      <c r="C286" s="76" t="s">
        <v>47</v>
      </c>
      <c r="D286" s="15">
        <v>25000000</v>
      </c>
      <c r="E286" s="15"/>
      <c r="F286" s="15"/>
      <c r="G286" s="80">
        <v>9400000</v>
      </c>
      <c r="H286" s="79">
        <v>15600000</v>
      </c>
      <c r="I286" s="15">
        <f>+G286+H286</f>
        <v>25000000</v>
      </c>
      <c r="J286" s="16">
        <f>+I286/D286</f>
        <v>1</v>
      </c>
      <c r="K286" s="80">
        <v>9400000</v>
      </c>
      <c r="L286" s="80">
        <v>11703700</v>
      </c>
      <c r="M286" s="80">
        <f>+K286+L286</f>
        <v>21103700</v>
      </c>
      <c r="N286" s="16">
        <f>+M286/D286</f>
        <v>0.84414800000000001</v>
      </c>
      <c r="O286" s="80">
        <f>+D286-I286</f>
        <v>0</v>
      </c>
      <c r="P286" s="77"/>
      <c r="Q286" s="6" t="str">
        <f t="shared" si="132"/>
        <v>OKE</v>
      </c>
      <c r="R286" s="6"/>
    </row>
    <row r="287" spans="1:18" ht="15" hidden="1" thickBot="1" x14ac:dyDescent="0.25">
      <c r="A287" s="74"/>
      <c r="B287" s="74"/>
      <c r="C287" s="76"/>
      <c r="D287" s="15"/>
      <c r="E287" s="15"/>
      <c r="F287" s="15"/>
      <c r="G287" s="80"/>
      <c r="H287" s="79"/>
      <c r="I287" s="80"/>
      <c r="J287" s="80"/>
      <c r="K287" s="80"/>
      <c r="L287" s="76"/>
      <c r="M287" s="76"/>
      <c r="N287" s="76"/>
      <c r="O287" s="76"/>
      <c r="P287" s="77"/>
      <c r="Q287" s="6" t="str">
        <f t="shared" si="132"/>
        <v>OKE</v>
      </c>
      <c r="R287" s="6"/>
    </row>
    <row r="288" spans="1:18" ht="15" hidden="1" thickBot="1" x14ac:dyDescent="0.25">
      <c r="A288" s="74">
        <v>4</v>
      </c>
      <c r="B288" s="75" t="s">
        <v>29</v>
      </c>
      <c r="C288" s="76" t="s">
        <v>30</v>
      </c>
      <c r="D288" s="15">
        <v>40000000</v>
      </c>
      <c r="E288" s="15"/>
      <c r="F288" s="15"/>
      <c r="G288" s="80">
        <v>26250000</v>
      </c>
      <c r="H288" s="79">
        <v>6550000</v>
      </c>
      <c r="I288" s="15">
        <f>+G288+H288</f>
        <v>32800000</v>
      </c>
      <c r="J288" s="16">
        <f>+I288/D288</f>
        <v>0.82</v>
      </c>
      <c r="K288" s="80">
        <v>25488500</v>
      </c>
      <c r="L288" s="80">
        <v>5841500</v>
      </c>
      <c r="M288" s="80">
        <f>+K288+L288</f>
        <v>31330000</v>
      </c>
      <c r="N288" s="16">
        <f>+M288/D288</f>
        <v>0.78325</v>
      </c>
      <c r="O288" s="80">
        <f>+D288-I288</f>
        <v>7200000</v>
      </c>
      <c r="P288" s="77"/>
      <c r="Q288" s="6" t="str">
        <f t="shared" si="132"/>
        <v>OKE</v>
      </c>
      <c r="R288" s="6"/>
    </row>
    <row r="289" spans="1:18" ht="15" hidden="1" thickBot="1" x14ac:dyDescent="0.25">
      <c r="A289" s="74"/>
      <c r="B289" s="74"/>
      <c r="C289" s="76"/>
      <c r="D289" s="15"/>
      <c r="E289" s="15"/>
      <c r="F289" s="15"/>
      <c r="G289" s="80"/>
      <c r="H289" s="79"/>
      <c r="I289" s="80"/>
      <c r="J289" s="80"/>
      <c r="K289" s="80"/>
      <c r="L289" s="76"/>
      <c r="M289" s="76"/>
      <c r="N289" s="76"/>
      <c r="O289" s="76"/>
      <c r="P289" s="77"/>
      <c r="Q289" s="6" t="str">
        <f t="shared" si="132"/>
        <v>OKE</v>
      </c>
      <c r="R289" s="6"/>
    </row>
    <row r="290" spans="1:18" ht="15" hidden="1" thickBot="1" x14ac:dyDescent="0.25">
      <c r="A290" s="74"/>
      <c r="B290" s="74"/>
      <c r="C290" s="9" t="s">
        <v>48</v>
      </c>
      <c r="D290" s="10">
        <f>+D288+D286+D284+D279</f>
        <v>352575000</v>
      </c>
      <c r="E290" s="10"/>
      <c r="F290" s="10"/>
      <c r="G290" s="10">
        <f>+G288+G286+G284+G279</f>
        <v>130595000</v>
      </c>
      <c r="H290" s="11">
        <f>+H288+H286+H284+H279</f>
        <v>200225000</v>
      </c>
      <c r="I290" s="10">
        <f>+G290+H290</f>
        <v>330820000</v>
      </c>
      <c r="J290" s="12">
        <f>+I290/D290</f>
        <v>0.9382968162802241</v>
      </c>
      <c r="K290" s="10">
        <f>+K288+K286+K284+K279</f>
        <v>124051000</v>
      </c>
      <c r="L290" s="10">
        <f>+L288+L286+L284+L279</f>
        <v>199372700</v>
      </c>
      <c r="M290" s="10">
        <f>+K290+L290</f>
        <v>323423700</v>
      </c>
      <c r="N290" s="12">
        <f>+M290/D290</f>
        <v>0.91731886832588816</v>
      </c>
      <c r="O290" s="10">
        <f>+D290-I290</f>
        <v>21755000</v>
      </c>
      <c r="P290" s="77"/>
      <c r="Q290" s="6" t="str">
        <f t="shared" si="132"/>
        <v>OKE</v>
      </c>
      <c r="R290" s="6"/>
    </row>
    <row r="291" spans="1:18" ht="15" hidden="1" thickBot="1" x14ac:dyDescent="0.25">
      <c r="A291" s="85"/>
      <c r="B291" s="85"/>
      <c r="C291" s="34" t="s">
        <v>31</v>
      </c>
      <c r="D291" s="35"/>
      <c r="E291" s="35"/>
      <c r="F291" s="35"/>
      <c r="G291" s="259"/>
      <c r="H291" s="260"/>
      <c r="I291" s="259"/>
      <c r="J291" s="259"/>
      <c r="K291" s="259"/>
      <c r="L291" s="261"/>
      <c r="M291" s="261"/>
      <c r="N291" s="261"/>
      <c r="O291" s="261"/>
      <c r="P291" s="77"/>
      <c r="Q291" s="6" t="str">
        <f t="shared" si="132"/>
        <v>OKE</v>
      </c>
      <c r="R291" s="6"/>
    </row>
    <row r="292" spans="1:18" ht="15" hidden="1" thickBot="1" x14ac:dyDescent="0.25">
      <c r="A292" s="74"/>
      <c r="B292" s="74"/>
      <c r="C292" s="76"/>
      <c r="D292" s="15"/>
      <c r="E292" s="15"/>
      <c r="F292" s="15"/>
      <c r="G292" s="80"/>
      <c r="H292" s="79"/>
      <c r="I292" s="80"/>
      <c r="J292" s="80"/>
      <c r="K292" s="80"/>
      <c r="L292" s="76"/>
      <c r="M292" s="76"/>
      <c r="N292" s="76"/>
      <c r="O292" s="76"/>
      <c r="P292" s="77"/>
      <c r="Q292" s="6" t="str">
        <f t="shared" si="132"/>
        <v>OKE</v>
      </c>
      <c r="R292" s="6"/>
    </row>
    <row r="293" spans="1:18" ht="15" hidden="1" thickBot="1" x14ac:dyDescent="0.25">
      <c r="A293" s="7" t="s">
        <v>32</v>
      </c>
      <c r="B293" s="7" t="s">
        <v>33</v>
      </c>
      <c r="C293" s="9" t="s">
        <v>83</v>
      </c>
      <c r="D293" s="10">
        <f>+D296</f>
        <v>75000000</v>
      </c>
      <c r="E293" s="10"/>
      <c r="F293" s="10"/>
      <c r="G293" s="10">
        <f>+G296</f>
        <v>45335300</v>
      </c>
      <c r="H293" s="11">
        <f>+H296</f>
        <v>26800000</v>
      </c>
      <c r="I293" s="10">
        <f>+G293+H293</f>
        <v>72135300</v>
      </c>
      <c r="J293" s="12">
        <f>+I293/D293</f>
        <v>0.96180399999999999</v>
      </c>
      <c r="K293" s="10">
        <f>+K296</f>
        <v>43643800</v>
      </c>
      <c r="L293" s="10">
        <f>+L296</f>
        <v>24769900</v>
      </c>
      <c r="M293" s="10">
        <f>+K293+L293</f>
        <v>68413700</v>
      </c>
      <c r="N293" s="12">
        <f>+M293/D293</f>
        <v>0.9121826666666667</v>
      </c>
      <c r="O293" s="10">
        <f>+D293-I293</f>
        <v>2864700</v>
      </c>
      <c r="P293" s="77"/>
      <c r="Q293" s="6" t="str">
        <f t="shared" si="132"/>
        <v>OKE</v>
      </c>
      <c r="R293" s="6"/>
    </row>
    <row r="294" spans="1:18" ht="15" hidden="1" thickBot="1" x14ac:dyDescent="0.25">
      <c r="A294" s="74"/>
      <c r="B294" s="74"/>
      <c r="C294" s="9" t="s">
        <v>49</v>
      </c>
      <c r="D294" s="15"/>
      <c r="E294" s="15"/>
      <c r="F294" s="15"/>
      <c r="G294" s="80"/>
      <c r="H294" s="79"/>
      <c r="I294" s="80"/>
      <c r="J294" s="80"/>
      <c r="K294" s="80"/>
      <c r="L294" s="76"/>
      <c r="M294" s="76"/>
      <c r="N294" s="76"/>
      <c r="O294" s="76"/>
      <c r="P294" s="77"/>
      <c r="Q294" s="6" t="str">
        <f t="shared" si="132"/>
        <v>OKE</v>
      </c>
      <c r="R294" s="6"/>
    </row>
    <row r="295" spans="1:18" ht="15" hidden="1" thickBot="1" x14ac:dyDescent="0.25">
      <c r="A295" s="74"/>
      <c r="B295" s="74"/>
      <c r="C295" s="76"/>
      <c r="D295" s="15"/>
      <c r="E295" s="15"/>
      <c r="F295" s="15"/>
      <c r="G295" s="80"/>
      <c r="H295" s="79"/>
      <c r="I295" s="80"/>
      <c r="J295" s="80"/>
      <c r="K295" s="80"/>
      <c r="L295" s="76"/>
      <c r="M295" s="76"/>
      <c r="N295" s="76"/>
      <c r="O295" s="76"/>
      <c r="P295" s="77"/>
      <c r="Q295" s="6" t="str">
        <f t="shared" si="132"/>
        <v>OKE</v>
      </c>
      <c r="R295" s="6"/>
    </row>
    <row r="296" spans="1:18" ht="15" hidden="1" thickBot="1" x14ac:dyDescent="0.25">
      <c r="A296" s="74">
        <v>5</v>
      </c>
      <c r="B296" s="75" t="s">
        <v>34</v>
      </c>
      <c r="C296" s="8" t="s">
        <v>35</v>
      </c>
      <c r="D296" s="15">
        <v>75000000</v>
      </c>
      <c r="E296" s="15"/>
      <c r="F296" s="15"/>
      <c r="G296" s="80">
        <v>45335300</v>
      </c>
      <c r="H296" s="79">
        <v>26800000</v>
      </c>
      <c r="I296" s="15">
        <f>+G296+H296</f>
        <v>72135300</v>
      </c>
      <c r="J296" s="16">
        <f>+I296/D296</f>
        <v>0.96180399999999999</v>
      </c>
      <c r="K296" s="80">
        <v>43643800</v>
      </c>
      <c r="L296" s="80">
        <v>24769900</v>
      </c>
      <c r="M296" s="80">
        <f>+K296+L296</f>
        <v>68413700</v>
      </c>
      <c r="N296" s="16">
        <f>+M296/D296</f>
        <v>0.9121826666666667</v>
      </c>
      <c r="O296" s="80">
        <f>+D296-I296</f>
        <v>2864700</v>
      </c>
      <c r="P296" s="77"/>
      <c r="Q296" s="6" t="str">
        <f t="shared" si="132"/>
        <v>OKE</v>
      </c>
      <c r="R296" s="6"/>
    </row>
    <row r="297" spans="1:18" ht="15" hidden="1" thickBot="1" x14ac:dyDescent="0.25">
      <c r="A297" s="74"/>
      <c r="B297" s="74"/>
      <c r="C297" s="76"/>
      <c r="D297" s="15"/>
      <c r="E297" s="15"/>
      <c r="F297" s="15"/>
      <c r="G297" s="80"/>
      <c r="H297" s="79"/>
      <c r="I297" s="80"/>
      <c r="J297" s="80"/>
      <c r="K297" s="80"/>
      <c r="L297" s="76"/>
      <c r="M297" s="76"/>
      <c r="N297" s="76"/>
      <c r="O297" s="76"/>
      <c r="P297" s="77"/>
      <c r="Q297" s="6" t="str">
        <f t="shared" si="132"/>
        <v>OKE</v>
      </c>
      <c r="R297" s="6"/>
    </row>
    <row r="298" spans="1:18" ht="15" hidden="1" thickBot="1" x14ac:dyDescent="0.25">
      <c r="A298" s="74"/>
      <c r="B298" s="74"/>
      <c r="C298" s="9" t="s">
        <v>65</v>
      </c>
      <c r="D298" s="10">
        <f>+D296</f>
        <v>75000000</v>
      </c>
      <c r="E298" s="10"/>
      <c r="F298" s="10"/>
      <c r="G298" s="10">
        <f>+G296</f>
        <v>45335300</v>
      </c>
      <c r="H298" s="11">
        <f>+H296</f>
        <v>26800000</v>
      </c>
      <c r="I298" s="10">
        <f>+G298+H298</f>
        <v>72135300</v>
      </c>
      <c r="J298" s="12">
        <f>+I298/D298</f>
        <v>0.96180399999999999</v>
      </c>
      <c r="K298" s="10">
        <f>+K296</f>
        <v>43643800</v>
      </c>
      <c r="L298" s="10">
        <f>+L296</f>
        <v>24769900</v>
      </c>
      <c r="M298" s="10">
        <f>+K298+L298</f>
        <v>68413700</v>
      </c>
      <c r="N298" s="12">
        <f>+M298/D298</f>
        <v>0.9121826666666667</v>
      </c>
      <c r="O298" s="10">
        <f>+D298-I298</f>
        <v>2864700</v>
      </c>
      <c r="P298" s="77"/>
      <c r="Q298" s="6" t="str">
        <f t="shared" si="132"/>
        <v>OKE</v>
      </c>
      <c r="R298" s="6"/>
    </row>
    <row r="299" spans="1:18" ht="15" hidden="1" thickBot="1" x14ac:dyDescent="0.25">
      <c r="A299" s="81"/>
      <c r="B299" s="81"/>
      <c r="C299" s="23" t="s">
        <v>66</v>
      </c>
      <c r="D299" s="32"/>
      <c r="E299" s="32"/>
      <c r="F299" s="32"/>
      <c r="G299" s="252"/>
      <c r="H299" s="253"/>
      <c r="I299" s="252"/>
      <c r="J299" s="252"/>
      <c r="K299" s="252"/>
      <c r="L299" s="251"/>
      <c r="M299" s="251"/>
      <c r="N299" s="251"/>
      <c r="O299" s="251"/>
      <c r="P299" s="77"/>
      <c r="Q299" s="6" t="str">
        <f t="shared" si="132"/>
        <v>OKE</v>
      </c>
      <c r="R299" s="6"/>
    </row>
    <row r="300" spans="1:18" ht="15" hidden="1" thickBot="1" x14ac:dyDescent="0.25">
      <c r="B300" s="88"/>
      <c r="C300" s="77"/>
      <c r="D300" s="31"/>
      <c r="E300" s="31"/>
      <c r="F300" s="31"/>
      <c r="G300" s="179"/>
      <c r="H300" s="258"/>
      <c r="I300" s="179"/>
      <c r="J300" s="179"/>
      <c r="K300" s="179"/>
      <c r="L300" s="77"/>
      <c r="M300" s="77"/>
      <c r="N300" s="77"/>
      <c r="O300" s="77"/>
      <c r="P300" s="77"/>
      <c r="Q300" s="6" t="str">
        <f t="shared" si="132"/>
        <v>OKE</v>
      </c>
      <c r="R300" s="6"/>
    </row>
    <row r="301" spans="1:18" ht="15" hidden="1" thickBot="1" x14ac:dyDescent="0.25">
      <c r="B301" s="88"/>
      <c r="C301" s="77"/>
      <c r="D301" s="31"/>
      <c r="E301" s="31"/>
      <c r="F301" s="31"/>
      <c r="G301" s="179"/>
      <c r="H301" s="258"/>
      <c r="I301" s="179"/>
      <c r="J301" s="179"/>
      <c r="K301" s="179"/>
      <c r="L301" s="77"/>
      <c r="M301" s="77"/>
      <c r="N301" s="77"/>
      <c r="O301" s="77"/>
      <c r="P301" s="77"/>
      <c r="Q301" s="6" t="str">
        <f t="shared" si="132"/>
        <v>OKE</v>
      </c>
      <c r="R301" s="6"/>
    </row>
    <row r="302" spans="1:18" ht="15" hidden="1" thickBot="1" x14ac:dyDescent="0.25">
      <c r="A302" s="77"/>
      <c r="B302" s="88"/>
      <c r="C302" s="77"/>
      <c r="D302" s="31"/>
      <c r="E302" s="31"/>
      <c r="F302" s="31"/>
      <c r="G302" s="179"/>
      <c r="H302" s="258"/>
      <c r="I302" s="179"/>
      <c r="J302" s="179"/>
      <c r="K302" s="179"/>
      <c r="L302" s="77"/>
      <c r="M302" s="77"/>
      <c r="N302" s="77"/>
      <c r="O302" s="77"/>
      <c r="P302" s="77"/>
      <c r="Q302" s="6" t="str">
        <f t="shared" si="132"/>
        <v>OKE</v>
      </c>
      <c r="R302" s="6"/>
    </row>
    <row r="303" spans="1:18" ht="15" hidden="1" thickBot="1" x14ac:dyDescent="0.25">
      <c r="A303" s="77"/>
      <c r="B303" s="88"/>
      <c r="C303" s="77"/>
      <c r="D303" s="31"/>
      <c r="E303" s="31"/>
      <c r="F303" s="31"/>
      <c r="G303" s="179"/>
      <c r="H303" s="258"/>
      <c r="I303" s="179"/>
      <c r="J303" s="179"/>
      <c r="K303" s="179"/>
      <c r="L303" s="77"/>
      <c r="M303" s="77"/>
      <c r="N303" s="77"/>
      <c r="O303" s="77"/>
      <c r="P303" s="77"/>
      <c r="Q303" s="6" t="str">
        <f t="shared" si="132"/>
        <v>OKE</v>
      </c>
      <c r="R303" s="6"/>
    </row>
    <row r="304" spans="1:18" ht="15" hidden="1" thickBot="1" x14ac:dyDescent="0.25">
      <c r="A304" s="77"/>
      <c r="B304" s="88"/>
      <c r="C304" s="77"/>
      <c r="D304" s="31"/>
      <c r="E304" s="31"/>
      <c r="F304" s="31"/>
      <c r="G304" s="179"/>
      <c r="H304" s="258"/>
      <c r="I304" s="179"/>
      <c r="J304" s="179"/>
      <c r="K304" s="179"/>
      <c r="L304" s="77"/>
      <c r="M304" s="77"/>
      <c r="N304" s="77"/>
      <c r="O304" s="77"/>
      <c r="P304" s="77"/>
      <c r="Q304" s="6" t="str">
        <f t="shared" si="132"/>
        <v>OKE</v>
      </c>
      <c r="R304" s="6"/>
    </row>
    <row r="305" spans="1:18" ht="15" hidden="1" thickBot="1" x14ac:dyDescent="0.25">
      <c r="A305" s="77"/>
      <c r="B305" s="88"/>
      <c r="C305" s="77"/>
      <c r="D305" s="31"/>
      <c r="E305" s="31"/>
      <c r="F305" s="31"/>
      <c r="G305" s="179"/>
      <c r="H305" s="258"/>
      <c r="I305" s="179"/>
      <c r="J305" s="179"/>
      <c r="K305" s="179"/>
      <c r="L305" s="77"/>
      <c r="M305" s="77"/>
      <c r="N305" s="77"/>
      <c r="O305" s="77"/>
      <c r="P305" s="77"/>
      <c r="Q305" s="6" t="str">
        <f t="shared" si="132"/>
        <v>OKE</v>
      </c>
      <c r="R305" s="6"/>
    </row>
    <row r="306" spans="1:18" ht="15" hidden="1" thickBot="1" x14ac:dyDescent="0.25">
      <c r="A306" s="77"/>
      <c r="B306" s="88"/>
      <c r="C306" s="77"/>
      <c r="D306" s="31"/>
      <c r="E306" s="31"/>
      <c r="F306" s="31"/>
      <c r="G306" s="179"/>
      <c r="H306" s="258"/>
      <c r="I306" s="179"/>
      <c r="J306" s="179"/>
      <c r="K306" s="179"/>
      <c r="L306" s="77"/>
      <c r="M306" s="77"/>
      <c r="N306" s="77"/>
      <c r="O306" s="77"/>
      <c r="P306" s="77"/>
      <c r="Q306" s="6" t="str">
        <f t="shared" si="132"/>
        <v>OKE</v>
      </c>
      <c r="R306" s="6"/>
    </row>
    <row r="307" spans="1:18" ht="15" hidden="1" thickBot="1" x14ac:dyDescent="0.25">
      <c r="A307" s="77"/>
      <c r="B307" s="88"/>
      <c r="C307" s="77"/>
      <c r="D307" s="31"/>
      <c r="E307" s="31"/>
      <c r="F307" s="31"/>
      <c r="G307" s="179"/>
      <c r="H307" s="258"/>
      <c r="I307" s="179"/>
      <c r="J307" s="179"/>
      <c r="K307" s="179"/>
      <c r="L307" s="77"/>
      <c r="M307" s="77"/>
      <c r="N307" s="77"/>
      <c r="O307" s="77"/>
      <c r="P307" s="77"/>
      <c r="Q307" s="6" t="str">
        <f t="shared" si="132"/>
        <v>OKE</v>
      </c>
      <c r="R307" s="6"/>
    </row>
    <row r="308" spans="1:18" ht="15" hidden="1" thickBot="1" x14ac:dyDescent="0.25">
      <c r="A308" s="77"/>
      <c r="B308" s="88"/>
      <c r="C308" s="77"/>
      <c r="D308" s="31"/>
      <c r="E308" s="31"/>
      <c r="F308" s="31"/>
      <c r="G308" s="179"/>
      <c r="H308" s="258"/>
      <c r="I308" s="179"/>
      <c r="J308" s="179"/>
      <c r="K308" s="179"/>
      <c r="L308" s="77"/>
      <c r="M308" s="77"/>
      <c r="N308" s="77"/>
      <c r="O308" s="77"/>
      <c r="P308" s="77"/>
      <c r="Q308" s="6" t="str">
        <f t="shared" ref="Q308:Q371" si="136">IF(M308&lt;=I308,"OKE","Salah")</f>
        <v>OKE</v>
      </c>
      <c r="R308" s="6"/>
    </row>
    <row r="309" spans="1:18" ht="15" hidden="1" thickBot="1" x14ac:dyDescent="0.25">
      <c r="A309" s="77"/>
      <c r="B309" s="88"/>
      <c r="C309" s="77"/>
      <c r="D309" s="31"/>
      <c r="E309" s="31"/>
      <c r="F309" s="31"/>
      <c r="G309" s="179"/>
      <c r="H309" s="258"/>
      <c r="I309" s="179"/>
      <c r="J309" s="179"/>
      <c r="K309" s="179"/>
      <c r="L309" s="77"/>
      <c r="M309" s="77"/>
      <c r="N309" s="77"/>
      <c r="O309" s="77"/>
      <c r="P309" s="77"/>
      <c r="Q309" s="6" t="str">
        <f t="shared" si="136"/>
        <v>OKE</v>
      </c>
      <c r="R309" s="6"/>
    </row>
    <row r="310" spans="1:18" ht="15" hidden="1" thickBot="1" x14ac:dyDescent="0.25">
      <c r="A310" s="77"/>
      <c r="B310" s="88"/>
      <c r="C310" s="77"/>
      <c r="D310" s="31"/>
      <c r="E310" s="31"/>
      <c r="F310" s="31"/>
      <c r="G310" s="179"/>
      <c r="H310" s="258"/>
      <c r="I310" s="179"/>
      <c r="J310" s="179"/>
      <c r="K310" s="179"/>
      <c r="L310" s="77"/>
      <c r="M310" s="77"/>
      <c r="N310" s="77"/>
      <c r="O310" s="77"/>
      <c r="P310" s="77"/>
      <c r="Q310" s="6" t="str">
        <f t="shared" si="136"/>
        <v>OKE</v>
      </c>
      <c r="R310" s="6"/>
    </row>
    <row r="311" spans="1:18" ht="15" hidden="1" thickBot="1" x14ac:dyDescent="0.25">
      <c r="A311" s="77"/>
      <c r="B311" s="88"/>
      <c r="C311" s="77"/>
      <c r="D311" s="31"/>
      <c r="E311" s="31"/>
      <c r="F311" s="31"/>
      <c r="G311" s="179"/>
      <c r="H311" s="258"/>
      <c r="I311" s="179"/>
      <c r="J311" s="179"/>
      <c r="K311" s="179"/>
      <c r="L311" s="77"/>
      <c r="M311" s="77"/>
      <c r="N311" s="77"/>
      <c r="O311" s="77"/>
      <c r="P311" s="77"/>
      <c r="Q311" s="6" t="str">
        <f t="shared" si="136"/>
        <v>OKE</v>
      </c>
      <c r="R311" s="6"/>
    </row>
    <row r="312" spans="1:18" ht="15" hidden="1" thickBot="1" x14ac:dyDescent="0.25">
      <c r="A312" s="77"/>
      <c r="B312" s="88"/>
      <c r="C312" s="77"/>
      <c r="D312" s="31"/>
      <c r="E312" s="31"/>
      <c r="F312" s="31"/>
      <c r="G312" s="179"/>
      <c r="H312" s="258"/>
      <c r="I312" s="179"/>
      <c r="J312" s="179"/>
      <c r="K312" s="179"/>
      <c r="L312" s="77"/>
      <c r="M312" s="77"/>
      <c r="N312" s="77"/>
      <c r="O312" s="77"/>
      <c r="P312" s="77"/>
      <c r="Q312" s="6" t="str">
        <f t="shared" si="136"/>
        <v>OKE</v>
      </c>
      <c r="R312" s="6"/>
    </row>
    <row r="313" spans="1:18" ht="15" hidden="1" thickBot="1" x14ac:dyDescent="0.25">
      <c r="A313" s="77"/>
      <c r="B313" s="88"/>
      <c r="C313" s="77"/>
      <c r="D313" s="31"/>
      <c r="E313" s="31"/>
      <c r="F313" s="31"/>
      <c r="G313" s="179"/>
      <c r="H313" s="258"/>
      <c r="I313" s="179"/>
      <c r="J313" s="179"/>
      <c r="K313" s="179"/>
      <c r="L313" s="77"/>
      <c r="M313" s="77"/>
      <c r="N313" s="77"/>
      <c r="O313" s="77"/>
      <c r="P313" s="77"/>
      <c r="Q313" s="6" t="str">
        <f t="shared" si="136"/>
        <v>OKE</v>
      </c>
      <c r="R313" s="6"/>
    </row>
    <row r="314" spans="1:18" ht="15" hidden="1" thickBot="1" x14ac:dyDescent="0.25">
      <c r="A314" s="77"/>
      <c r="B314" s="88"/>
      <c r="C314" s="77"/>
      <c r="D314" s="31"/>
      <c r="E314" s="31"/>
      <c r="F314" s="31"/>
      <c r="G314" s="179"/>
      <c r="H314" s="258"/>
      <c r="I314" s="179"/>
      <c r="J314" s="179"/>
      <c r="K314" s="179"/>
      <c r="L314" s="77"/>
      <c r="M314" s="77"/>
      <c r="N314" s="77"/>
      <c r="O314" s="77"/>
      <c r="P314" s="77"/>
      <c r="Q314" s="6" t="str">
        <f t="shared" si="136"/>
        <v>OKE</v>
      </c>
      <c r="R314" s="6"/>
    </row>
    <row r="315" spans="1:18" ht="15" hidden="1" thickBot="1" x14ac:dyDescent="0.25">
      <c r="A315" s="77"/>
      <c r="B315" s="88"/>
      <c r="C315" s="77"/>
      <c r="D315" s="31"/>
      <c r="E315" s="31"/>
      <c r="F315" s="31"/>
      <c r="G315" s="179"/>
      <c r="H315" s="258"/>
      <c r="I315" s="179"/>
      <c r="J315" s="179"/>
      <c r="K315" s="179"/>
      <c r="L315" s="77"/>
      <c r="M315" s="77"/>
      <c r="N315" s="77"/>
      <c r="O315" s="77"/>
      <c r="P315" s="77"/>
      <c r="Q315" s="6" t="str">
        <f t="shared" si="136"/>
        <v>OKE</v>
      </c>
      <c r="R315" s="6"/>
    </row>
    <row r="316" spans="1:18" ht="15" hidden="1" thickBot="1" x14ac:dyDescent="0.25">
      <c r="A316" s="77"/>
      <c r="B316" s="88"/>
      <c r="C316" s="77"/>
      <c r="D316" s="31"/>
      <c r="E316" s="31"/>
      <c r="F316" s="31"/>
      <c r="G316" s="179"/>
      <c r="H316" s="258"/>
      <c r="I316" s="179"/>
      <c r="J316" s="179"/>
      <c r="K316" s="179"/>
      <c r="L316" s="77"/>
      <c r="M316" s="77"/>
      <c r="N316" s="77"/>
      <c r="O316" s="77"/>
      <c r="P316" s="77"/>
      <c r="Q316" s="6" t="str">
        <f t="shared" si="136"/>
        <v>OKE</v>
      </c>
      <c r="R316" s="6"/>
    </row>
    <row r="317" spans="1:18" ht="15" hidden="1" thickBot="1" x14ac:dyDescent="0.25">
      <c r="A317" s="77"/>
      <c r="B317" s="88"/>
      <c r="C317" s="77"/>
      <c r="D317" s="31"/>
      <c r="E317" s="31"/>
      <c r="F317" s="31"/>
      <c r="G317" s="179"/>
      <c r="H317" s="258"/>
      <c r="I317" s="179"/>
      <c r="J317" s="179"/>
      <c r="K317" s="179"/>
      <c r="L317" s="77"/>
      <c r="M317" s="77"/>
      <c r="N317" s="77"/>
      <c r="O317" s="77"/>
      <c r="P317" s="77"/>
      <c r="Q317" s="6" t="str">
        <f t="shared" si="136"/>
        <v>OKE</v>
      </c>
      <c r="R317" s="6"/>
    </row>
    <row r="318" spans="1:18" ht="15" hidden="1" thickBot="1" x14ac:dyDescent="0.25">
      <c r="B318" s="88"/>
      <c r="C318" s="77"/>
      <c r="D318" s="31"/>
      <c r="E318" s="31"/>
      <c r="F318" s="31"/>
      <c r="G318" s="179"/>
      <c r="H318" s="258"/>
      <c r="I318" s="179"/>
      <c r="J318" s="179"/>
      <c r="K318" s="179"/>
      <c r="L318" s="77"/>
      <c r="M318" s="77"/>
      <c r="N318" s="77"/>
      <c r="O318" s="77"/>
      <c r="P318" s="77"/>
      <c r="Q318" s="6" t="str">
        <f t="shared" si="136"/>
        <v>OKE</v>
      </c>
      <c r="R318" s="6"/>
    </row>
    <row r="319" spans="1:18" ht="15" hidden="1" thickBot="1" x14ac:dyDescent="0.25">
      <c r="B319" s="88"/>
      <c r="C319" s="77"/>
      <c r="D319" s="31"/>
      <c r="E319" s="31"/>
      <c r="F319" s="31"/>
      <c r="G319" s="179"/>
      <c r="H319" s="258"/>
      <c r="I319" s="179"/>
      <c r="J319" s="179"/>
      <c r="K319" s="179"/>
      <c r="L319" s="77"/>
      <c r="M319" s="77"/>
      <c r="N319" s="77"/>
      <c r="O319" s="77"/>
      <c r="P319" s="77"/>
      <c r="Q319" s="6" t="str">
        <f t="shared" si="136"/>
        <v>OKE</v>
      </c>
      <c r="R319" s="6"/>
    </row>
    <row r="320" spans="1:18" ht="15" hidden="1" thickBot="1" x14ac:dyDescent="0.25">
      <c r="B320" s="88"/>
      <c r="C320" s="77"/>
      <c r="D320" s="31"/>
      <c r="E320" s="31"/>
      <c r="F320" s="31"/>
      <c r="G320" s="179"/>
      <c r="H320" s="258"/>
      <c r="I320" s="179"/>
      <c r="J320" s="179"/>
      <c r="K320" s="179"/>
      <c r="L320" s="77"/>
      <c r="M320" s="77"/>
      <c r="N320" s="77"/>
      <c r="O320" s="77"/>
      <c r="P320" s="77"/>
      <c r="Q320" s="6" t="str">
        <f t="shared" si="136"/>
        <v>OKE</v>
      </c>
      <c r="R320" s="6"/>
    </row>
    <row r="321" spans="1:18" ht="15" hidden="1" thickBot="1" x14ac:dyDescent="0.25">
      <c r="B321" s="88"/>
      <c r="C321" s="77"/>
      <c r="D321" s="31"/>
      <c r="E321" s="31"/>
      <c r="F321" s="31"/>
      <c r="G321" s="179"/>
      <c r="H321" s="258"/>
      <c r="I321" s="179"/>
      <c r="J321" s="179"/>
      <c r="K321" s="179"/>
      <c r="L321" s="77"/>
      <c r="M321" s="77"/>
      <c r="N321" s="77"/>
      <c r="O321" s="77"/>
      <c r="P321" s="77"/>
      <c r="Q321" s="6" t="str">
        <f t="shared" si="136"/>
        <v>OKE</v>
      </c>
      <c r="R321" s="6"/>
    </row>
    <row r="322" spans="1:18" ht="15" hidden="1" thickBot="1" x14ac:dyDescent="0.25">
      <c r="B322" s="88"/>
      <c r="C322" s="77"/>
      <c r="D322" s="31"/>
      <c r="E322" s="31"/>
      <c r="F322" s="31"/>
      <c r="G322" s="179"/>
      <c r="H322" s="258"/>
      <c r="I322" s="179"/>
      <c r="J322" s="179"/>
      <c r="K322" s="179"/>
      <c r="L322" s="77"/>
      <c r="M322" s="77"/>
      <c r="N322" s="77"/>
      <c r="O322" s="77"/>
      <c r="P322" s="77"/>
      <c r="Q322" s="6" t="str">
        <f t="shared" si="136"/>
        <v>OKE</v>
      </c>
      <c r="R322" s="6"/>
    </row>
    <row r="323" spans="1:18" ht="15" hidden="1" thickBot="1" x14ac:dyDescent="0.25">
      <c r="A323" s="407"/>
      <c r="B323" s="407"/>
      <c r="C323" s="407"/>
      <c r="D323" s="407"/>
      <c r="E323" s="407"/>
      <c r="F323" s="407"/>
      <c r="G323" s="407"/>
      <c r="H323" s="407"/>
      <c r="I323" s="407"/>
      <c r="J323" s="407"/>
      <c r="K323" s="407"/>
      <c r="L323" s="407"/>
      <c r="M323" s="407"/>
      <c r="N323" s="407"/>
      <c r="O323" s="407"/>
      <c r="P323" s="77"/>
      <c r="Q323" s="6" t="str">
        <f t="shared" si="136"/>
        <v>OKE</v>
      </c>
      <c r="R323" s="6"/>
    </row>
    <row r="324" spans="1:18" ht="14.1" hidden="1" customHeight="1" x14ac:dyDescent="0.2">
      <c r="A324" s="361" t="s">
        <v>2</v>
      </c>
      <c r="B324" s="361" t="s">
        <v>3</v>
      </c>
      <c r="C324" s="361" t="s">
        <v>4</v>
      </c>
      <c r="D324" s="361" t="s">
        <v>5</v>
      </c>
      <c r="E324" s="197"/>
      <c r="F324" s="197"/>
      <c r="G324" s="358" t="s">
        <v>11</v>
      </c>
      <c r="H324" s="359"/>
      <c r="I324" s="359"/>
      <c r="J324" s="360"/>
      <c r="K324" s="358" t="s">
        <v>9</v>
      </c>
      <c r="L324" s="359"/>
      <c r="M324" s="359"/>
      <c r="N324" s="360"/>
      <c r="O324" s="361" t="s">
        <v>10</v>
      </c>
      <c r="P324" s="77"/>
      <c r="Q324" s="6" t="str">
        <f t="shared" si="136"/>
        <v>OKE</v>
      </c>
      <c r="R324" s="6"/>
    </row>
    <row r="325" spans="1:18" ht="14.1" hidden="1" customHeight="1" x14ac:dyDescent="0.2">
      <c r="A325" s="362"/>
      <c r="B325" s="362"/>
      <c r="C325" s="362"/>
      <c r="D325" s="362"/>
      <c r="E325" s="44"/>
      <c r="F325" s="44"/>
      <c r="G325" s="358" t="s">
        <v>74</v>
      </c>
      <c r="H325" s="359"/>
      <c r="I325" s="359"/>
      <c r="J325" s="360"/>
      <c r="K325" s="358" t="s">
        <v>12</v>
      </c>
      <c r="L325" s="359"/>
      <c r="M325" s="359"/>
      <c r="N325" s="360"/>
      <c r="O325" s="362"/>
      <c r="P325" s="77"/>
      <c r="Q325" s="6" t="str">
        <f t="shared" si="136"/>
        <v>OKE</v>
      </c>
      <c r="R325" s="6"/>
    </row>
    <row r="326" spans="1:18" ht="15" hidden="1" thickBot="1" x14ac:dyDescent="0.25">
      <c r="A326" s="378"/>
      <c r="B326" s="378"/>
      <c r="C326" s="378"/>
      <c r="D326" s="378"/>
      <c r="E326" s="196"/>
      <c r="F326" s="196"/>
      <c r="G326" s="144" t="s">
        <v>13</v>
      </c>
      <c r="H326" s="145" t="s">
        <v>14</v>
      </c>
      <c r="I326" s="144" t="s">
        <v>15</v>
      </c>
      <c r="J326" s="144" t="s">
        <v>16</v>
      </c>
      <c r="K326" s="144" t="s">
        <v>13</v>
      </c>
      <c r="L326" s="144" t="s">
        <v>14</v>
      </c>
      <c r="M326" s="144" t="s">
        <v>15</v>
      </c>
      <c r="N326" s="144" t="s">
        <v>16</v>
      </c>
      <c r="O326" s="378"/>
      <c r="P326" s="77"/>
      <c r="Q326" s="6" t="str">
        <f t="shared" si="136"/>
        <v>OKE</v>
      </c>
      <c r="R326" s="6"/>
    </row>
    <row r="327" spans="1:18" ht="15" hidden="1" thickBot="1" x14ac:dyDescent="0.25">
      <c r="A327" s="2">
        <v>1</v>
      </c>
      <c r="B327" s="2">
        <v>2</v>
      </c>
      <c r="C327" s="2">
        <v>3</v>
      </c>
      <c r="D327" s="2">
        <v>4</v>
      </c>
      <c r="E327" s="2"/>
      <c r="F327" s="2"/>
      <c r="G327" s="2">
        <v>5</v>
      </c>
      <c r="H327" s="145">
        <v>6</v>
      </c>
      <c r="I327" s="45" t="s">
        <v>77</v>
      </c>
      <c r="J327" s="45" t="s">
        <v>78</v>
      </c>
      <c r="K327" s="45">
        <v>9</v>
      </c>
      <c r="L327" s="45">
        <v>10</v>
      </c>
      <c r="M327" s="45" t="s">
        <v>79</v>
      </c>
      <c r="N327" s="45" t="s">
        <v>80</v>
      </c>
      <c r="O327" s="45" t="s">
        <v>81</v>
      </c>
      <c r="P327" s="77"/>
      <c r="Q327" s="6" t="str">
        <f t="shared" si="136"/>
        <v>OKE</v>
      </c>
      <c r="R327" s="6"/>
    </row>
    <row r="328" spans="1:18" ht="15" hidden="1" thickBot="1" x14ac:dyDescent="0.25">
      <c r="A328" s="74"/>
      <c r="B328" s="76"/>
      <c r="C328" s="76"/>
      <c r="D328" s="8"/>
      <c r="E328" s="8"/>
      <c r="F328" s="8"/>
      <c r="G328" s="76"/>
      <c r="H328" s="82"/>
      <c r="I328" s="76"/>
      <c r="J328" s="76"/>
      <c r="K328" s="76"/>
      <c r="L328" s="76"/>
      <c r="M328" s="76"/>
      <c r="N328" s="241"/>
      <c r="O328" s="241"/>
      <c r="P328" s="77"/>
      <c r="Q328" s="6" t="str">
        <f t="shared" si="136"/>
        <v>OKE</v>
      </c>
      <c r="R328" s="6"/>
    </row>
    <row r="329" spans="1:18" ht="15" hidden="1" thickBot="1" x14ac:dyDescent="0.25">
      <c r="A329" s="74"/>
      <c r="B329" s="76"/>
      <c r="C329" s="244" t="s">
        <v>82</v>
      </c>
      <c r="D329" s="8"/>
      <c r="E329" s="8"/>
      <c r="F329" s="8"/>
      <c r="G329" s="76"/>
      <c r="H329" s="82"/>
      <c r="I329" s="76"/>
      <c r="J329" s="76"/>
      <c r="K329" s="76"/>
      <c r="L329" s="76"/>
      <c r="M329" s="76"/>
      <c r="N329" s="76"/>
      <c r="O329" s="76"/>
      <c r="P329" s="77"/>
      <c r="Q329" s="6" t="str">
        <f t="shared" si="136"/>
        <v>OKE</v>
      </c>
      <c r="R329" s="6"/>
    </row>
    <row r="330" spans="1:18" ht="15" hidden="1" thickBot="1" x14ac:dyDescent="0.25">
      <c r="A330" s="74"/>
      <c r="B330" s="76"/>
      <c r="C330" s="76"/>
      <c r="D330" s="8"/>
      <c r="E330" s="8"/>
      <c r="F330" s="8"/>
      <c r="G330" s="76"/>
      <c r="H330" s="82"/>
      <c r="I330" s="76"/>
      <c r="J330" s="76"/>
      <c r="K330" s="76"/>
      <c r="L330" s="76"/>
      <c r="M330" s="76"/>
      <c r="N330" s="76"/>
      <c r="O330" s="76"/>
      <c r="P330" s="77"/>
      <c r="Q330" s="6" t="str">
        <f t="shared" si="136"/>
        <v>OKE</v>
      </c>
      <c r="R330" s="6"/>
    </row>
    <row r="331" spans="1:18" ht="15" hidden="1" thickBot="1" x14ac:dyDescent="0.25">
      <c r="A331" s="7" t="s">
        <v>38</v>
      </c>
      <c r="B331" s="7" t="s">
        <v>75</v>
      </c>
      <c r="C331" s="9" t="s">
        <v>84</v>
      </c>
      <c r="D331" s="10">
        <f>+D334+D337+D339+D341</f>
        <v>253000000</v>
      </c>
      <c r="E331" s="10"/>
      <c r="F331" s="10"/>
      <c r="G331" s="10">
        <f>+G334+G337+G339+G341</f>
        <v>196063600</v>
      </c>
      <c r="H331" s="11">
        <f>+H334+H337+H339+H341</f>
        <v>54435500</v>
      </c>
      <c r="I331" s="10">
        <f>+G331+H331</f>
        <v>250499100</v>
      </c>
      <c r="J331" s="12">
        <f>+I331/D331</f>
        <v>0.99011501976284588</v>
      </c>
      <c r="K331" s="10">
        <f>+K334+K337+K339+K341</f>
        <v>195569100</v>
      </c>
      <c r="L331" s="10">
        <f>+L334+L337+L339+L341</f>
        <v>54908000</v>
      </c>
      <c r="M331" s="10">
        <f>+K331+L331</f>
        <v>250477100</v>
      </c>
      <c r="N331" s="12">
        <f>+M331/D331</f>
        <v>0.9900280632411067</v>
      </c>
      <c r="O331" s="10">
        <f>+D331-I331</f>
        <v>2500900</v>
      </c>
      <c r="P331" s="77"/>
      <c r="Q331" s="6" t="str">
        <f t="shared" si="136"/>
        <v>OKE</v>
      </c>
      <c r="R331" s="6"/>
    </row>
    <row r="332" spans="1:18" ht="15" hidden="1" thickBot="1" x14ac:dyDescent="0.25">
      <c r="A332" s="74"/>
      <c r="B332" s="74"/>
      <c r="C332" s="9" t="s">
        <v>85</v>
      </c>
      <c r="D332" s="15"/>
      <c r="E332" s="15"/>
      <c r="F332" s="15"/>
      <c r="G332" s="80"/>
      <c r="H332" s="79"/>
      <c r="I332" s="80"/>
      <c r="J332" s="80"/>
      <c r="K332" s="80"/>
      <c r="L332" s="76"/>
      <c r="M332" s="76"/>
      <c r="N332" s="76"/>
      <c r="O332" s="76"/>
      <c r="P332" s="77"/>
      <c r="Q332" s="6" t="str">
        <f t="shared" si="136"/>
        <v>OKE</v>
      </c>
      <c r="R332" s="6"/>
    </row>
    <row r="333" spans="1:18" ht="15" hidden="1" thickBot="1" x14ac:dyDescent="0.25">
      <c r="A333" s="74"/>
      <c r="B333" s="74"/>
      <c r="C333" s="76"/>
      <c r="D333" s="15"/>
      <c r="E333" s="15"/>
      <c r="F333" s="15"/>
      <c r="G333" s="80"/>
      <c r="H333" s="79"/>
      <c r="I333" s="80"/>
      <c r="J333" s="80"/>
      <c r="K333" s="80"/>
      <c r="L333" s="76"/>
      <c r="M333" s="76"/>
      <c r="N333" s="76"/>
      <c r="O333" s="76"/>
      <c r="P333" s="77"/>
      <c r="Q333" s="6" t="str">
        <f t="shared" si="136"/>
        <v>OKE</v>
      </c>
      <c r="R333" s="6"/>
    </row>
    <row r="334" spans="1:18" ht="15" hidden="1" thickBot="1" x14ac:dyDescent="0.25">
      <c r="A334" s="74">
        <v>6</v>
      </c>
      <c r="B334" s="75" t="s">
        <v>39</v>
      </c>
      <c r="C334" s="8" t="s">
        <v>86</v>
      </c>
      <c r="D334" s="15">
        <v>38000000</v>
      </c>
      <c r="E334" s="15"/>
      <c r="F334" s="15"/>
      <c r="G334" s="80">
        <v>37612500</v>
      </c>
      <c r="H334" s="79">
        <v>0</v>
      </c>
      <c r="I334" s="15">
        <f>+G334+H334</f>
        <v>37612500</v>
      </c>
      <c r="J334" s="16">
        <f>+I334/D334</f>
        <v>0.98980263157894732</v>
      </c>
      <c r="K334" s="80">
        <v>37612500</v>
      </c>
      <c r="L334" s="80">
        <v>0</v>
      </c>
      <c r="M334" s="80">
        <f>+K334+L334</f>
        <v>37612500</v>
      </c>
      <c r="N334" s="16">
        <f>+M334/D334</f>
        <v>0.98980263157894732</v>
      </c>
      <c r="O334" s="80">
        <f>+D334-I334</f>
        <v>387500</v>
      </c>
      <c r="P334" s="77"/>
      <c r="Q334" s="6" t="str">
        <f t="shared" si="136"/>
        <v>OKE</v>
      </c>
      <c r="R334" s="6"/>
    </row>
    <row r="335" spans="1:18" ht="15" hidden="1" thickBot="1" x14ac:dyDescent="0.25">
      <c r="A335" s="74"/>
      <c r="B335" s="74"/>
      <c r="C335" s="8" t="s">
        <v>52</v>
      </c>
      <c r="D335" s="15"/>
      <c r="E335" s="15"/>
      <c r="F335" s="15"/>
      <c r="G335" s="80"/>
      <c r="H335" s="79"/>
      <c r="I335" s="80"/>
      <c r="J335" s="80"/>
      <c r="K335" s="80"/>
      <c r="L335" s="76"/>
      <c r="M335" s="76"/>
      <c r="N335" s="76"/>
      <c r="O335" s="76"/>
      <c r="P335" s="77"/>
      <c r="Q335" s="6" t="str">
        <f t="shared" si="136"/>
        <v>OKE</v>
      </c>
      <c r="R335" s="6"/>
    </row>
    <row r="336" spans="1:18" ht="15" hidden="1" thickBot="1" x14ac:dyDescent="0.25">
      <c r="A336" s="74"/>
      <c r="B336" s="74"/>
      <c r="C336" s="8"/>
      <c r="D336" s="15"/>
      <c r="E336" s="15"/>
      <c r="F336" s="15"/>
      <c r="G336" s="80"/>
      <c r="H336" s="79"/>
      <c r="I336" s="80"/>
      <c r="J336" s="80"/>
      <c r="K336" s="80"/>
      <c r="L336" s="76"/>
      <c r="M336" s="76"/>
      <c r="N336" s="76"/>
      <c r="O336" s="76"/>
      <c r="P336" s="77"/>
      <c r="Q336" s="6" t="str">
        <f t="shared" si="136"/>
        <v>OKE</v>
      </c>
      <c r="R336" s="6"/>
    </row>
    <row r="337" spans="1:18" ht="15" hidden="1" thickBot="1" x14ac:dyDescent="0.25">
      <c r="A337" s="74">
        <v>7</v>
      </c>
      <c r="B337" s="75" t="s">
        <v>42</v>
      </c>
      <c r="C337" s="8" t="s">
        <v>53</v>
      </c>
      <c r="D337" s="15">
        <v>60000000</v>
      </c>
      <c r="E337" s="15"/>
      <c r="F337" s="15"/>
      <c r="G337" s="80">
        <v>59091100</v>
      </c>
      <c r="H337" s="79">
        <v>0</v>
      </c>
      <c r="I337" s="15">
        <f>+G337+H337</f>
        <v>59091100</v>
      </c>
      <c r="J337" s="16">
        <f>+I337/D337</f>
        <v>0.98485166666666668</v>
      </c>
      <c r="K337" s="80">
        <v>59091100</v>
      </c>
      <c r="L337" s="80">
        <v>0</v>
      </c>
      <c r="M337" s="80">
        <f>+K337+L337</f>
        <v>59091100</v>
      </c>
      <c r="N337" s="16">
        <f>+M337/D337</f>
        <v>0.98485166666666668</v>
      </c>
      <c r="O337" s="80">
        <f>+D337-I337</f>
        <v>908900</v>
      </c>
      <c r="P337" s="77"/>
      <c r="Q337" s="6" t="str">
        <f t="shared" si="136"/>
        <v>OKE</v>
      </c>
      <c r="R337" s="6"/>
    </row>
    <row r="338" spans="1:18" ht="15" hidden="1" thickBot="1" x14ac:dyDescent="0.25">
      <c r="A338" s="74"/>
      <c r="B338" s="74"/>
      <c r="C338" s="8"/>
      <c r="D338" s="15"/>
      <c r="E338" s="15"/>
      <c r="F338" s="15"/>
      <c r="G338" s="80"/>
      <c r="H338" s="79"/>
      <c r="I338" s="80"/>
      <c r="J338" s="80"/>
      <c r="K338" s="80"/>
      <c r="L338" s="76"/>
      <c r="M338" s="76"/>
      <c r="N338" s="76"/>
      <c r="O338" s="76"/>
      <c r="P338" s="77"/>
      <c r="Q338" s="6" t="str">
        <f t="shared" si="136"/>
        <v>OKE</v>
      </c>
      <c r="R338" s="6"/>
    </row>
    <row r="339" spans="1:18" ht="15" hidden="1" thickBot="1" x14ac:dyDescent="0.25">
      <c r="A339" s="74">
        <v>8</v>
      </c>
      <c r="B339" s="75" t="s">
        <v>24</v>
      </c>
      <c r="C339" s="8" t="s">
        <v>87</v>
      </c>
      <c r="D339" s="15">
        <v>65000000</v>
      </c>
      <c r="E339" s="15"/>
      <c r="F339" s="15"/>
      <c r="G339" s="80">
        <v>38340000</v>
      </c>
      <c r="H339" s="79">
        <v>25460000</v>
      </c>
      <c r="I339" s="15">
        <f>+G339+H339</f>
        <v>63800000</v>
      </c>
      <c r="J339" s="16">
        <f>+I339/D339</f>
        <v>0.98153846153846158</v>
      </c>
      <c r="K339" s="80">
        <v>37852500</v>
      </c>
      <c r="L339" s="80">
        <v>25932500</v>
      </c>
      <c r="M339" s="80">
        <f>+K339+L339</f>
        <v>63785000</v>
      </c>
      <c r="N339" s="16">
        <f>+M339/D339</f>
        <v>0.98130769230769233</v>
      </c>
      <c r="O339" s="80">
        <f>+D339-I339</f>
        <v>1200000</v>
      </c>
      <c r="P339" s="77"/>
      <c r="Q339" s="6" t="str">
        <f t="shared" si="136"/>
        <v>OKE</v>
      </c>
      <c r="R339" s="6"/>
    </row>
    <row r="340" spans="1:18" ht="15" hidden="1" thickBot="1" x14ac:dyDescent="0.25">
      <c r="A340" s="74"/>
      <c r="B340" s="76"/>
      <c r="C340" s="76"/>
      <c r="D340" s="8"/>
      <c r="E340" s="8"/>
      <c r="F340" s="8"/>
      <c r="G340" s="76"/>
      <c r="H340" s="82"/>
      <c r="I340" s="76"/>
      <c r="J340" s="76"/>
      <c r="K340" s="46"/>
      <c r="L340" s="76"/>
      <c r="M340" s="76"/>
      <c r="N340" s="76"/>
      <c r="O340" s="76"/>
      <c r="P340" s="77"/>
      <c r="Q340" s="6" t="str">
        <f t="shared" si="136"/>
        <v>OKE</v>
      </c>
      <c r="R340" s="6"/>
    </row>
    <row r="341" spans="1:18" ht="15" hidden="1" thickBot="1" x14ac:dyDescent="0.25">
      <c r="A341" s="74">
        <v>9</v>
      </c>
      <c r="B341" s="75" t="s">
        <v>40</v>
      </c>
      <c r="C341" s="76" t="s">
        <v>88</v>
      </c>
      <c r="D341" s="47">
        <v>90000000</v>
      </c>
      <c r="E341" s="47"/>
      <c r="F341" s="47"/>
      <c r="G341" s="80">
        <v>61020000</v>
      </c>
      <c r="H341" s="79">
        <v>28975500</v>
      </c>
      <c r="I341" s="15">
        <f>+G341+H341</f>
        <v>89995500</v>
      </c>
      <c r="J341" s="16">
        <f>+I341/D341</f>
        <v>0.99995000000000001</v>
      </c>
      <c r="K341" s="80">
        <v>61013000</v>
      </c>
      <c r="L341" s="80">
        <v>28975500</v>
      </c>
      <c r="M341" s="80">
        <f>+K341+L341</f>
        <v>89988500</v>
      </c>
      <c r="N341" s="48">
        <v>0.99980000000000002</v>
      </c>
      <c r="O341" s="80">
        <f>+D341-I341</f>
        <v>4500</v>
      </c>
      <c r="P341" s="77"/>
      <c r="Q341" s="6" t="str">
        <f t="shared" si="136"/>
        <v>OKE</v>
      </c>
      <c r="R341" s="6"/>
    </row>
    <row r="342" spans="1:18" ht="15" hidden="1" thickBot="1" x14ac:dyDescent="0.25">
      <c r="A342" s="74"/>
      <c r="B342" s="76"/>
      <c r="C342" s="76"/>
      <c r="D342" s="8"/>
      <c r="E342" s="8"/>
      <c r="F342" s="8"/>
      <c r="G342" s="76"/>
      <c r="H342" s="82"/>
      <c r="I342" s="76"/>
      <c r="J342" s="76"/>
      <c r="K342" s="76"/>
      <c r="L342" s="76"/>
      <c r="M342" s="76"/>
      <c r="N342" s="76"/>
      <c r="O342" s="76"/>
      <c r="P342" s="77"/>
      <c r="Q342" s="6" t="str">
        <f t="shared" si="136"/>
        <v>OKE</v>
      </c>
      <c r="R342" s="6"/>
    </row>
    <row r="343" spans="1:18" ht="15" hidden="1" thickBot="1" x14ac:dyDescent="0.25">
      <c r="A343" s="74"/>
      <c r="B343" s="76"/>
      <c r="C343" s="9" t="s">
        <v>89</v>
      </c>
      <c r="D343" s="10">
        <f>+D341+D339+D337+D334</f>
        <v>253000000</v>
      </c>
      <c r="E343" s="10"/>
      <c r="F343" s="10"/>
      <c r="G343" s="10">
        <f>+G341+G339+G337+G334</f>
        <v>196063600</v>
      </c>
      <c r="H343" s="11">
        <f>+H341+H339+H337+H334</f>
        <v>54435500</v>
      </c>
      <c r="I343" s="10">
        <f>+G343+H343</f>
        <v>250499100</v>
      </c>
      <c r="J343" s="12">
        <f>+I343/D343</f>
        <v>0.99011501976284588</v>
      </c>
      <c r="K343" s="10">
        <f>+K341+K339+K337+K334</f>
        <v>195569100</v>
      </c>
      <c r="L343" s="10">
        <f>+L341+L339+L337+L334</f>
        <v>54908000</v>
      </c>
      <c r="M343" s="10">
        <f>+K343+L343</f>
        <v>250477100</v>
      </c>
      <c r="N343" s="12">
        <f>+M343/D343</f>
        <v>0.9900280632411067</v>
      </c>
      <c r="O343" s="10">
        <f>+D343-I343</f>
        <v>2500900</v>
      </c>
      <c r="P343" s="77"/>
      <c r="Q343" s="6" t="str">
        <f t="shared" si="136"/>
        <v>OKE</v>
      </c>
      <c r="R343" s="6"/>
    </row>
    <row r="344" spans="1:18" ht="15" hidden="1" thickBot="1" x14ac:dyDescent="0.25">
      <c r="A344" s="85"/>
      <c r="B344" s="261"/>
      <c r="C344" s="34" t="s">
        <v>90</v>
      </c>
      <c r="D344" s="49"/>
      <c r="E344" s="49"/>
      <c r="F344" s="49"/>
      <c r="G344" s="261"/>
      <c r="H344" s="262"/>
      <c r="I344" s="261"/>
      <c r="J344" s="261"/>
      <c r="K344" s="261"/>
      <c r="L344" s="261"/>
      <c r="M344" s="261"/>
      <c r="N344" s="261"/>
      <c r="O344" s="261"/>
      <c r="P344" s="77"/>
      <c r="Q344" s="6" t="str">
        <f t="shared" si="136"/>
        <v>OKE</v>
      </c>
      <c r="R344" s="6"/>
    </row>
    <row r="345" spans="1:18" ht="15" hidden="1" thickBot="1" x14ac:dyDescent="0.25">
      <c r="A345" s="74"/>
      <c r="B345" s="76"/>
      <c r="C345" s="76"/>
      <c r="D345" s="8"/>
      <c r="E345" s="8"/>
      <c r="F345" s="8"/>
      <c r="G345" s="76"/>
      <c r="H345" s="82"/>
      <c r="I345" s="76"/>
      <c r="J345" s="76"/>
      <c r="K345" s="76"/>
      <c r="L345" s="76"/>
      <c r="M345" s="76"/>
      <c r="N345" s="76"/>
      <c r="O345" s="76"/>
      <c r="P345" s="50"/>
      <c r="Q345" s="6" t="str">
        <f t="shared" si="136"/>
        <v>OKE</v>
      </c>
      <c r="R345" s="6"/>
    </row>
    <row r="346" spans="1:18" ht="15" hidden="1" thickBot="1" x14ac:dyDescent="0.25">
      <c r="A346" s="7" t="s">
        <v>41</v>
      </c>
      <c r="B346" s="7" t="s">
        <v>54</v>
      </c>
      <c r="C346" s="9" t="s">
        <v>91</v>
      </c>
      <c r="D346" s="10">
        <f>+D349</f>
        <v>105000000</v>
      </c>
      <c r="E346" s="10"/>
      <c r="F346" s="10"/>
      <c r="G346" s="10">
        <f>+G349</f>
        <v>105000000</v>
      </c>
      <c r="H346" s="11">
        <f>+H349</f>
        <v>0</v>
      </c>
      <c r="I346" s="10">
        <f>+G346+H346</f>
        <v>105000000</v>
      </c>
      <c r="J346" s="12">
        <f>+I346/D346</f>
        <v>1</v>
      </c>
      <c r="K346" s="10">
        <f>+K349</f>
        <v>104800000</v>
      </c>
      <c r="L346" s="10">
        <f>+L349</f>
        <v>0</v>
      </c>
      <c r="M346" s="10">
        <f>+K346+L346</f>
        <v>104800000</v>
      </c>
      <c r="N346" s="12">
        <f>+M346/D346</f>
        <v>0.99809523809523815</v>
      </c>
      <c r="O346" s="10">
        <f>+D346-I346</f>
        <v>0</v>
      </c>
      <c r="P346" s="5"/>
      <c r="Q346" s="6" t="str">
        <f t="shared" si="136"/>
        <v>OKE</v>
      </c>
      <c r="R346" s="6"/>
    </row>
    <row r="347" spans="1:18" ht="15" hidden="1" thickBot="1" x14ac:dyDescent="0.25">
      <c r="A347" s="74"/>
      <c r="B347" s="76"/>
      <c r="C347" s="9" t="s">
        <v>92</v>
      </c>
      <c r="D347" s="15"/>
      <c r="E347" s="15"/>
      <c r="F347" s="15"/>
      <c r="G347" s="80"/>
      <c r="H347" s="79"/>
      <c r="I347" s="80"/>
      <c r="J347" s="80"/>
      <c r="K347" s="80"/>
      <c r="L347" s="76"/>
      <c r="M347" s="76"/>
      <c r="N347" s="76"/>
      <c r="O347" s="76"/>
      <c r="P347" s="5"/>
      <c r="Q347" s="6" t="str">
        <f t="shared" si="136"/>
        <v>OKE</v>
      </c>
      <c r="R347" s="6"/>
    </row>
    <row r="348" spans="1:18" ht="15" hidden="1" thickBot="1" x14ac:dyDescent="0.25">
      <c r="A348" s="74"/>
      <c r="B348" s="76"/>
      <c r="C348" s="76"/>
      <c r="D348" s="15"/>
      <c r="E348" s="15"/>
      <c r="F348" s="15"/>
      <c r="G348" s="80"/>
      <c r="H348" s="79"/>
      <c r="I348" s="80"/>
      <c r="J348" s="80"/>
      <c r="K348" s="80"/>
      <c r="L348" s="76"/>
      <c r="M348" s="76"/>
      <c r="N348" s="76"/>
      <c r="O348" s="76"/>
      <c r="P348" s="5"/>
      <c r="Q348" s="6" t="str">
        <f t="shared" si="136"/>
        <v>OKE</v>
      </c>
      <c r="R348" s="6"/>
    </row>
    <row r="349" spans="1:18" ht="15" hidden="1" thickBot="1" x14ac:dyDescent="0.25">
      <c r="A349" s="74">
        <v>10</v>
      </c>
      <c r="B349" s="75" t="s">
        <v>43</v>
      </c>
      <c r="C349" s="8" t="s">
        <v>93</v>
      </c>
      <c r="D349" s="15">
        <v>105000000</v>
      </c>
      <c r="E349" s="15"/>
      <c r="F349" s="15"/>
      <c r="G349" s="80">
        <v>105000000</v>
      </c>
      <c r="H349" s="79">
        <v>0</v>
      </c>
      <c r="I349" s="15">
        <f>+G349+H349</f>
        <v>105000000</v>
      </c>
      <c r="J349" s="16">
        <f>+I349/D349</f>
        <v>1</v>
      </c>
      <c r="K349" s="80">
        <v>104800000</v>
      </c>
      <c r="L349" s="80">
        <v>0</v>
      </c>
      <c r="M349" s="80">
        <f>+K349+L349</f>
        <v>104800000</v>
      </c>
      <c r="N349" s="16">
        <f>+M349/D349</f>
        <v>0.99809523809523815</v>
      </c>
      <c r="O349" s="80">
        <f>+D349-I349</f>
        <v>0</v>
      </c>
      <c r="P349" s="5"/>
      <c r="Q349" s="6" t="str">
        <f t="shared" si="136"/>
        <v>OKE</v>
      </c>
      <c r="R349" s="6"/>
    </row>
    <row r="350" spans="1:18" ht="15" hidden="1" thickBot="1" x14ac:dyDescent="0.25">
      <c r="A350" s="74"/>
      <c r="B350" s="74"/>
      <c r="C350" s="76"/>
      <c r="D350" s="15"/>
      <c r="E350" s="15"/>
      <c r="F350" s="15"/>
      <c r="G350" s="80"/>
      <c r="H350" s="79"/>
      <c r="I350" s="80"/>
      <c r="J350" s="80"/>
      <c r="K350" s="80"/>
      <c r="L350" s="76"/>
      <c r="M350" s="76"/>
      <c r="N350" s="76"/>
      <c r="O350" s="76"/>
      <c r="P350" s="5"/>
      <c r="Q350" s="6" t="str">
        <f t="shared" si="136"/>
        <v>OKE</v>
      </c>
      <c r="R350" s="6"/>
    </row>
    <row r="351" spans="1:18" ht="15" hidden="1" thickBot="1" x14ac:dyDescent="0.25">
      <c r="A351" s="74"/>
      <c r="B351" s="74"/>
      <c r="C351" s="9" t="s">
        <v>94</v>
      </c>
      <c r="D351" s="10">
        <f>+D349</f>
        <v>105000000</v>
      </c>
      <c r="E351" s="10"/>
      <c r="F351" s="10"/>
      <c r="G351" s="10">
        <f>+G349</f>
        <v>105000000</v>
      </c>
      <c r="H351" s="11">
        <f>+H349</f>
        <v>0</v>
      </c>
      <c r="I351" s="10">
        <f>+G351+H351</f>
        <v>105000000</v>
      </c>
      <c r="J351" s="12">
        <f>+I351/D351</f>
        <v>1</v>
      </c>
      <c r="K351" s="10">
        <f>+K349</f>
        <v>104800000</v>
      </c>
      <c r="L351" s="10">
        <f>+L349</f>
        <v>0</v>
      </c>
      <c r="M351" s="10">
        <f>+K351+L351</f>
        <v>104800000</v>
      </c>
      <c r="N351" s="12">
        <f>+M351/D351</f>
        <v>0.99809523809523815</v>
      </c>
      <c r="O351" s="10">
        <f>+D351-I351</f>
        <v>0</v>
      </c>
      <c r="P351" s="5"/>
      <c r="Q351" s="6" t="str">
        <f t="shared" si="136"/>
        <v>OKE</v>
      </c>
      <c r="R351" s="6"/>
    </row>
    <row r="352" spans="1:18" ht="15" hidden="1" thickBot="1" x14ac:dyDescent="0.25">
      <c r="A352" s="85"/>
      <c r="B352" s="85"/>
      <c r="C352" s="34" t="s">
        <v>55</v>
      </c>
      <c r="D352" s="35"/>
      <c r="E352" s="35"/>
      <c r="F352" s="35"/>
      <c r="G352" s="259"/>
      <c r="H352" s="260"/>
      <c r="I352" s="259"/>
      <c r="J352" s="259"/>
      <c r="K352" s="259"/>
      <c r="L352" s="261"/>
      <c r="M352" s="261"/>
      <c r="N352" s="261"/>
      <c r="O352" s="261"/>
      <c r="P352" s="5"/>
      <c r="Q352" s="6" t="str">
        <f t="shared" si="136"/>
        <v>OKE</v>
      </c>
      <c r="R352" s="6"/>
    </row>
    <row r="353" spans="1:18" ht="15" hidden="1" thickBot="1" x14ac:dyDescent="0.25">
      <c r="A353" s="91"/>
      <c r="B353" s="91"/>
      <c r="C353" s="51"/>
      <c r="D353" s="52"/>
      <c r="E353" s="52"/>
      <c r="F353" s="52"/>
      <c r="G353" s="263"/>
      <c r="H353" s="264"/>
      <c r="I353" s="263"/>
      <c r="J353" s="263"/>
      <c r="K353" s="263"/>
      <c r="L353" s="265"/>
      <c r="M353" s="265"/>
      <c r="N353" s="265"/>
      <c r="O353" s="265"/>
      <c r="P353" s="5"/>
      <c r="Q353" s="6" t="str">
        <f t="shared" si="136"/>
        <v>OKE</v>
      </c>
      <c r="R353" s="6"/>
    </row>
    <row r="354" spans="1:18" ht="15" hidden="1" thickBot="1" x14ac:dyDescent="0.25">
      <c r="A354" s="411" t="s">
        <v>95</v>
      </c>
      <c r="B354" s="411"/>
      <c r="C354" s="413" t="s">
        <v>96</v>
      </c>
      <c r="D354" s="415">
        <f>+D351+D343+D298+D290</f>
        <v>785575000</v>
      </c>
      <c r="E354" s="198"/>
      <c r="F354" s="198"/>
      <c r="G354" s="415">
        <f>+G351+G343+G298+G290</f>
        <v>476993900</v>
      </c>
      <c r="H354" s="417">
        <f>+H351+H343+H298+H290</f>
        <v>281460500</v>
      </c>
      <c r="I354" s="415">
        <f>+G354+H354</f>
        <v>758454400</v>
      </c>
      <c r="J354" s="419">
        <f>+I354/D354</f>
        <v>0.96547675269706901</v>
      </c>
      <c r="K354" s="415">
        <f>+K351+K343+K298+K290</f>
        <v>468063900</v>
      </c>
      <c r="L354" s="415">
        <f>+L351+L343+L298+L290</f>
        <v>279050600</v>
      </c>
      <c r="M354" s="421">
        <f>+K354+L354</f>
        <v>747114500</v>
      </c>
      <c r="N354" s="423">
        <f>+M354/D354</f>
        <v>0.95104159373707153</v>
      </c>
      <c r="O354" s="421">
        <f>+D354-I354</f>
        <v>27120600</v>
      </c>
      <c r="P354" s="5"/>
      <c r="Q354" s="6" t="str">
        <f t="shared" si="136"/>
        <v>OKE</v>
      </c>
      <c r="R354" s="6"/>
    </row>
    <row r="355" spans="1:18" ht="15" hidden="1" thickBot="1" x14ac:dyDescent="0.25">
      <c r="A355" s="412"/>
      <c r="B355" s="412"/>
      <c r="C355" s="414"/>
      <c r="D355" s="416"/>
      <c r="E355" s="199"/>
      <c r="F355" s="199"/>
      <c r="G355" s="416"/>
      <c r="H355" s="418"/>
      <c r="I355" s="416"/>
      <c r="J355" s="420"/>
      <c r="K355" s="416"/>
      <c r="L355" s="416"/>
      <c r="M355" s="422"/>
      <c r="N355" s="424"/>
      <c r="O355" s="422"/>
      <c r="P355" s="5"/>
      <c r="Q355" s="6" t="str">
        <f t="shared" si="136"/>
        <v>OKE</v>
      </c>
      <c r="R355" s="6"/>
    </row>
    <row r="356" spans="1:18" ht="15" hidden="1" thickBot="1" x14ac:dyDescent="0.25">
      <c r="A356" s="90"/>
      <c r="B356" s="90"/>
      <c r="C356" s="37"/>
      <c r="D356" s="37"/>
      <c r="E356" s="37"/>
      <c r="F356" s="37"/>
      <c r="G356" s="90"/>
      <c r="H356" s="266"/>
      <c r="I356" s="90"/>
      <c r="J356" s="90"/>
      <c r="K356" s="90"/>
      <c r="L356" s="267"/>
      <c r="M356" s="90"/>
      <c r="N356" s="90"/>
      <c r="O356" s="90"/>
      <c r="P356" s="5"/>
      <c r="Q356" s="6" t="str">
        <f t="shared" si="136"/>
        <v>OKE</v>
      </c>
      <c r="R356" s="6"/>
    </row>
    <row r="357" spans="1:18" ht="15" hidden="1" thickBot="1" x14ac:dyDescent="0.25">
      <c r="A357" s="90"/>
      <c r="B357" s="90"/>
      <c r="C357" s="37"/>
      <c r="D357" s="37"/>
      <c r="E357" s="37"/>
      <c r="F357" s="37"/>
      <c r="G357" s="90"/>
      <c r="H357" s="266"/>
      <c r="I357" s="90"/>
      <c r="J357" s="90"/>
      <c r="K357" s="90"/>
      <c r="L357" s="267"/>
      <c r="M357" s="90"/>
      <c r="N357" s="90"/>
      <c r="O357" s="90"/>
      <c r="P357" s="5"/>
      <c r="Q357" s="6" t="str">
        <f t="shared" si="136"/>
        <v>OKE</v>
      </c>
      <c r="R357" s="6"/>
    </row>
    <row r="358" spans="1:18" ht="15" hidden="1" thickBot="1" x14ac:dyDescent="0.25">
      <c r="A358" s="90"/>
      <c r="B358" s="90"/>
      <c r="C358" s="37"/>
      <c r="D358" s="37"/>
      <c r="E358" s="37"/>
      <c r="F358" s="37"/>
      <c r="G358" s="90"/>
      <c r="H358" s="266"/>
      <c r="I358" s="90"/>
      <c r="J358" s="90"/>
      <c r="K358" s="90"/>
      <c r="L358" s="267"/>
      <c r="M358" s="90"/>
      <c r="N358" s="90"/>
      <c r="O358" s="90"/>
      <c r="P358" s="5"/>
      <c r="Q358" s="6" t="str">
        <f t="shared" si="136"/>
        <v>OKE</v>
      </c>
      <c r="R358" s="6"/>
    </row>
    <row r="359" spans="1:18" ht="15" hidden="1" thickBot="1" x14ac:dyDescent="0.25">
      <c r="A359" s="90"/>
      <c r="B359" s="90"/>
      <c r="C359" s="37"/>
      <c r="D359" s="37"/>
      <c r="E359" s="37"/>
      <c r="F359" s="37"/>
      <c r="G359" s="90"/>
      <c r="H359" s="266"/>
      <c r="I359" s="90"/>
      <c r="J359" s="90"/>
      <c r="K359" s="90"/>
      <c r="L359" s="267"/>
      <c r="M359" s="90"/>
      <c r="N359" s="90"/>
      <c r="O359" s="90"/>
      <c r="P359" s="5"/>
      <c r="Q359" s="6" t="str">
        <f t="shared" si="136"/>
        <v>OKE</v>
      </c>
      <c r="R359" s="6"/>
    </row>
    <row r="360" spans="1:18" ht="15" hidden="1" thickBot="1" x14ac:dyDescent="0.25">
      <c r="A360" s="90"/>
      <c r="B360" s="90"/>
      <c r="C360" s="37"/>
      <c r="D360" s="37"/>
      <c r="E360" s="37"/>
      <c r="F360" s="37"/>
      <c r="G360" s="90"/>
      <c r="H360" s="266"/>
      <c r="I360" s="90"/>
      <c r="J360" s="90"/>
      <c r="K360" s="90"/>
      <c r="L360" s="267"/>
      <c r="M360" s="90"/>
      <c r="N360" s="90"/>
      <c r="O360" s="90"/>
      <c r="P360" s="5"/>
      <c r="Q360" s="6" t="str">
        <f t="shared" si="136"/>
        <v>OKE</v>
      </c>
      <c r="R360" s="6"/>
    </row>
    <row r="361" spans="1:18" ht="15" hidden="1" thickBot="1" x14ac:dyDescent="0.25">
      <c r="A361" s="90"/>
      <c r="B361" s="90"/>
      <c r="C361" s="37"/>
      <c r="D361" s="37"/>
      <c r="E361" s="37"/>
      <c r="F361" s="37"/>
      <c r="G361" s="90"/>
      <c r="H361" s="266"/>
      <c r="I361" s="90"/>
      <c r="J361" s="90"/>
      <c r="K361" s="90"/>
      <c r="L361" s="267"/>
      <c r="M361" s="90"/>
      <c r="N361" s="90"/>
      <c r="O361" s="90"/>
      <c r="P361" s="5"/>
      <c r="Q361" s="6" t="str">
        <f t="shared" si="136"/>
        <v>OKE</v>
      </c>
      <c r="R361" s="6"/>
    </row>
    <row r="362" spans="1:18" ht="15" hidden="1" thickBot="1" x14ac:dyDescent="0.25">
      <c r="A362" s="90"/>
      <c r="B362" s="90"/>
      <c r="C362" s="37"/>
      <c r="D362" s="37"/>
      <c r="E362" s="37"/>
      <c r="F362" s="37"/>
      <c r="G362" s="90"/>
      <c r="H362" s="266"/>
      <c r="I362" s="90"/>
      <c r="J362" s="90"/>
      <c r="K362" s="90"/>
      <c r="L362" s="267"/>
      <c r="M362" s="90"/>
      <c r="N362" s="90"/>
      <c r="O362" s="90"/>
      <c r="P362" s="5"/>
      <c r="Q362" s="6" t="str">
        <f t="shared" si="136"/>
        <v>OKE</v>
      </c>
      <c r="R362" s="6"/>
    </row>
    <row r="363" spans="1:18" ht="15" hidden="1" thickBot="1" x14ac:dyDescent="0.25">
      <c r="A363" s="90"/>
      <c r="B363" s="90"/>
      <c r="C363" s="37"/>
      <c r="D363" s="37"/>
      <c r="E363" s="37"/>
      <c r="F363" s="37"/>
      <c r="G363" s="90"/>
      <c r="H363" s="266"/>
      <c r="I363" s="90"/>
      <c r="J363" s="90"/>
      <c r="K363" s="90"/>
      <c r="L363" s="267"/>
      <c r="M363" s="90"/>
      <c r="N363" s="90"/>
      <c r="O363" s="90"/>
      <c r="P363" s="5"/>
      <c r="Q363" s="6" t="str">
        <f t="shared" si="136"/>
        <v>OKE</v>
      </c>
      <c r="R363" s="6"/>
    </row>
    <row r="364" spans="1:18" ht="15" hidden="1" thickBot="1" x14ac:dyDescent="0.25">
      <c r="A364" s="90"/>
      <c r="B364" s="90"/>
      <c r="C364" s="37"/>
      <c r="D364" s="37"/>
      <c r="E364" s="37"/>
      <c r="F364" s="37"/>
      <c r="G364" s="90"/>
      <c r="H364" s="266"/>
      <c r="I364" s="90"/>
      <c r="J364" s="90"/>
      <c r="K364" s="90"/>
      <c r="L364" s="267"/>
      <c r="M364" s="90"/>
      <c r="N364" s="90"/>
      <c r="O364" s="90"/>
      <c r="P364" s="5"/>
      <c r="Q364" s="6" t="str">
        <f t="shared" si="136"/>
        <v>OKE</v>
      </c>
      <c r="R364" s="6"/>
    </row>
    <row r="365" spans="1:18" ht="15" hidden="1" thickBot="1" x14ac:dyDescent="0.25">
      <c r="A365" s="90"/>
      <c r="B365" s="90"/>
      <c r="C365" s="37"/>
      <c r="D365" s="37"/>
      <c r="E365" s="37"/>
      <c r="F365" s="37"/>
      <c r="G365" s="90"/>
      <c r="H365" s="266"/>
      <c r="I365" s="90"/>
      <c r="J365" s="90"/>
      <c r="K365" s="90"/>
      <c r="L365" s="267"/>
      <c r="M365" s="90"/>
      <c r="N365" s="90"/>
      <c r="O365" s="90"/>
      <c r="P365" s="5"/>
      <c r="Q365" s="6" t="str">
        <f t="shared" si="136"/>
        <v>OKE</v>
      </c>
      <c r="R365" s="6"/>
    </row>
    <row r="366" spans="1:18" ht="15" hidden="1" thickBot="1" x14ac:dyDescent="0.25">
      <c r="A366" s="90"/>
      <c r="B366" s="90"/>
      <c r="C366" s="37"/>
      <c r="D366" s="37"/>
      <c r="E366" s="37"/>
      <c r="F366" s="37"/>
      <c r="G366" s="90"/>
      <c r="H366" s="266"/>
      <c r="I366" s="90"/>
      <c r="J366" s="90"/>
      <c r="K366" s="90"/>
      <c r="L366" s="267"/>
      <c r="M366" s="90"/>
      <c r="N366" s="90"/>
      <c r="O366" s="90"/>
      <c r="P366" s="5"/>
      <c r="Q366" s="6" t="str">
        <f t="shared" si="136"/>
        <v>OKE</v>
      </c>
      <c r="R366" s="6"/>
    </row>
    <row r="367" spans="1:18" ht="15" hidden="1" thickBot="1" x14ac:dyDescent="0.25">
      <c r="A367" s="90"/>
      <c r="B367" s="90"/>
      <c r="C367" s="37"/>
      <c r="D367" s="37"/>
      <c r="E367" s="37"/>
      <c r="F367" s="37"/>
      <c r="G367" s="90"/>
      <c r="H367" s="266"/>
      <c r="I367" s="90"/>
      <c r="J367" s="90"/>
      <c r="K367" s="90"/>
      <c r="L367" s="267"/>
      <c r="M367" s="90"/>
      <c r="N367" s="90"/>
      <c r="O367" s="90"/>
      <c r="P367" s="5"/>
      <c r="Q367" s="6" t="str">
        <f t="shared" si="136"/>
        <v>OKE</v>
      </c>
      <c r="R367" s="6"/>
    </row>
    <row r="368" spans="1:18" ht="15" hidden="1" thickBot="1" x14ac:dyDescent="0.25">
      <c r="A368" s="90"/>
      <c r="B368" s="90"/>
      <c r="C368" s="37"/>
      <c r="D368" s="37"/>
      <c r="E368" s="37"/>
      <c r="F368" s="37"/>
      <c r="G368" s="90"/>
      <c r="H368" s="266"/>
      <c r="I368" s="90"/>
      <c r="J368" s="90"/>
      <c r="K368" s="90"/>
      <c r="L368" s="267"/>
      <c r="M368" s="90"/>
      <c r="N368" s="90"/>
      <c r="O368" s="90"/>
      <c r="P368" s="5"/>
      <c r="Q368" s="6" t="str">
        <f t="shared" si="136"/>
        <v>OKE</v>
      </c>
      <c r="R368" s="6"/>
    </row>
    <row r="369" spans="1:18" ht="15" hidden="1" thickBot="1" x14ac:dyDescent="0.25">
      <c r="A369" s="90"/>
      <c r="B369" s="90"/>
      <c r="C369" s="37"/>
      <c r="D369" s="37"/>
      <c r="E369" s="37"/>
      <c r="F369" s="37"/>
      <c r="G369" s="90"/>
      <c r="H369" s="266"/>
      <c r="I369" s="90"/>
      <c r="J369" s="90"/>
      <c r="K369" s="90"/>
      <c r="L369" s="267"/>
      <c r="M369" s="90"/>
      <c r="N369" s="90"/>
      <c r="O369" s="90"/>
      <c r="P369" s="5"/>
      <c r="Q369" s="6" t="str">
        <f t="shared" si="136"/>
        <v>OKE</v>
      </c>
      <c r="R369" s="6"/>
    </row>
    <row r="370" spans="1:18" ht="15" hidden="1" thickBot="1" x14ac:dyDescent="0.25">
      <c r="A370" s="90"/>
      <c r="B370" s="90"/>
      <c r="C370" s="37"/>
      <c r="D370" s="37"/>
      <c r="E370" s="37"/>
      <c r="F370" s="37"/>
      <c r="G370" s="90"/>
      <c r="H370" s="266"/>
      <c r="I370" s="90"/>
      <c r="J370" s="90"/>
      <c r="K370" s="90"/>
      <c r="L370" s="267"/>
      <c r="M370" s="90"/>
      <c r="N370" s="90"/>
      <c r="O370" s="90"/>
      <c r="P370" s="5"/>
      <c r="Q370" s="6" t="str">
        <f t="shared" si="136"/>
        <v>OKE</v>
      </c>
      <c r="R370" s="6"/>
    </row>
    <row r="371" spans="1:18" ht="15" hidden="1" thickBot="1" x14ac:dyDescent="0.25">
      <c r="A371" s="90"/>
      <c r="B371" s="90"/>
      <c r="C371" s="37"/>
      <c r="D371" s="37"/>
      <c r="E371" s="37"/>
      <c r="F371" s="37"/>
      <c r="G371" s="90"/>
      <c r="H371" s="266"/>
      <c r="I371" s="90"/>
      <c r="J371" s="90"/>
      <c r="K371" s="90"/>
      <c r="L371" s="267"/>
      <c r="M371" s="90"/>
      <c r="N371" s="90"/>
      <c r="O371" s="90"/>
      <c r="P371" s="5"/>
      <c r="Q371" s="6" t="str">
        <f t="shared" si="136"/>
        <v>OKE</v>
      </c>
      <c r="R371" s="6"/>
    </row>
    <row r="372" spans="1:18" ht="15" hidden="1" thickBot="1" x14ac:dyDescent="0.25">
      <c r="A372" s="90"/>
      <c r="B372" s="90"/>
      <c r="C372" s="37"/>
      <c r="D372" s="37"/>
      <c r="E372" s="37"/>
      <c r="F372" s="37"/>
      <c r="G372" s="90"/>
      <c r="H372" s="266"/>
      <c r="I372" s="90"/>
      <c r="J372" s="90"/>
      <c r="K372" s="90"/>
      <c r="L372" s="267"/>
      <c r="M372" s="90"/>
      <c r="N372" s="90"/>
      <c r="O372" s="90"/>
      <c r="P372" s="5"/>
      <c r="Q372" s="6" t="str">
        <f t="shared" ref="Q372:Q435" si="137">IF(M372&lt;=I372,"OKE","Salah")</f>
        <v>OKE</v>
      </c>
      <c r="R372" s="6"/>
    </row>
    <row r="373" spans="1:18" ht="15" hidden="1" thickBot="1" x14ac:dyDescent="0.25">
      <c r="A373" s="90"/>
      <c r="B373" s="90"/>
      <c r="C373" s="37"/>
      <c r="D373" s="37"/>
      <c r="E373" s="37"/>
      <c r="F373" s="37"/>
      <c r="G373" s="90"/>
      <c r="H373" s="266"/>
      <c r="I373" s="90"/>
      <c r="J373" s="90"/>
      <c r="K373" s="90"/>
      <c r="L373" s="267"/>
      <c r="M373" s="90"/>
      <c r="N373" s="90"/>
      <c r="O373" s="90"/>
      <c r="P373" s="5"/>
      <c r="Q373" s="6" t="str">
        <f t="shared" si="137"/>
        <v>OKE</v>
      </c>
      <c r="R373" s="6"/>
    </row>
    <row r="374" spans="1:18" ht="15" hidden="1" thickBot="1" x14ac:dyDescent="0.25">
      <c r="A374" s="90"/>
      <c r="B374" s="90"/>
      <c r="C374" s="37"/>
      <c r="D374" s="37"/>
      <c r="E374" s="37"/>
      <c r="F374" s="37"/>
      <c r="G374" s="90"/>
      <c r="H374" s="266"/>
      <c r="I374" s="90"/>
      <c r="J374" s="90"/>
      <c r="K374" s="90"/>
      <c r="L374" s="267"/>
      <c r="M374" s="90"/>
      <c r="N374" s="90"/>
      <c r="O374" s="90"/>
      <c r="P374" s="5"/>
      <c r="Q374" s="6" t="str">
        <f t="shared" si="137"/>
        <v>OKE</v>
      </c>
      <c r="R374" s="6"/>
    </row>
    <row r="375" spans="1:18" ht="15" hidden="1" thickBot="1" x14ac:dyDescent="0.25">
      <c r="A375" s="90"/>
      <c r="B375" s="90"/>
      <c r="C375" s="37"/>
      <c r="D375" s="37"/>
      <c r="E375" s="37"/>
      <c r="F375" s="37"/>
      <c r="G375" s="90"/>
      <c r="H375" s="266"/>
      <c r="I375" s="90"/>
      <c r="J375" s="90"/>
      <c r="K375" s="90"/>
      <c r="L375" s="267"/>
      <c r="M375" s="90"/>
      <c r="N375" s="90"/>
      <c r="O375" s="90"/>
      <c r="P375" s="5"/>
      <c r="Q375" s="6" t="str">
        <f t="shared" si="137"/>
        <v>OKE</v>
      </c>
      <c r="R375" s="6"/>
    </row>
    <row r="376" spans="1:18" ht="15" hidden="1" thickBot="1" x14ac:dyDescent="0.25">
      <c r="A376" s="90"/>
      <c r="B376" s="90"/>
      <c r="C376" s="37"/>
      <c r="D376" s="37"/>
      <c r="E376" s="37"/>
      <c r="F376" s="37"/>
      <c r="G376" s="90"/>
      <c r="H376" s="266"/>
      <c r="I376" s="90"/>
      <c r="J376" s="90"/>
      <c r="K376" s="90"/>
      <c r="L376" s="267"/>
      <c r="M376" s="90"/>
      <c r="N376" s="90"/>
      <c r="O376" s="90"/>
      <c r="P376" s="5"/>
      <c r="Q376" s="6" t="str">
        <f t="shared" si="137"/>
        <v>OKE</v>
      </c>
      <c r="R376" s="6"/>
    </row>
    <row r="377" spans="1:18" ht="15" hidden="1" thickBot="1" x14ac:dyDescent="0.25">
      <c r="A377" s="90"/>
      <c r="B377" s="90"/>
      <c r="C377" s="37"/>
      <c r="D377" s="37"/>
      <c r="E377" s="37"/>
      <c r="F377" s="37"/>
      <c r="G377" s="90"/>
      <c r="H377" s="266"/>
      <c r="I377" s="90"/>
      <c r="J377" s="90"/>
      <c r="K377" s="90"/>
      <c r="L377" s="267"/>
      <c r="M377" s="90"/>
      <c r="N377" s="90"/>
      <c r="O377" s="90"/>
      <c r="P377" s="5"/>
      <c r="Q377" s="6" t="str">
        <f t="shared" si="137"/>
        <v>OKE</v>
      </c>
      <c r="R377" s="6"/>
    </row>
    <row r="378" spans="1:18" ht="14.1" hidden="1" customHeight="1" x14ac:dyDescent="0.2">
      <c r="A378" s="410" t="s">
        <v>0</v>
      </c>
      <c r="B378" s="410"/>
      <c r="C378" s="410"/>
      <c r="D378" s="410"/>
      <c r="E378" s="410"/>
      <c r="F378" s="410"/>
      <c r="G378" s="410"/>
      <c r="H378" s="410"/>
      <c r="I378" s="410"/>
      <c r="J378" s="410"/>
      <c r="K378" s="410"/>
      <c r="L378" s="410"/>
      <c r="M378" s="410"/>
      <c r="N378" s="410"/>
      <c r="O378" s="410"/>
      <c r="P378" s="5"/>
      <c r="Q378" s="6" t="str">
        <f t="shared" si="137"/>
        <v>OKE</v>
      </c>
      <c r="R378" s="6"/>
    </row>
    <row r="379" spans="1:18" ht="14.1" hidden="1" customHeight="1" x14ac:dyDescent="0.2">
      <c r="A379" s="410" t="s">
        <v>1</v>
      </c>
      <c r="B379" s="410"/>
      <c r="C379" s="410"/>
      <c r="D379" s="410"/>
      <c r="E379" s="410"/>
      <c r="F379" s="410"/>
      <c r="G379" s="410"/>
      <c r="H379" s="410"/>
      <c r="I379" s="410"/>
      <c r="J379" s="410"/>
      <c r="K379" s="410"/>
      <c r="L379" s="410"/>
      <c r="M379" s="410"/>
      <c r="N379" s="410"/>
      <c r="O379" s="410"/>
      <c r="P379" s="5"/>
      <c r="Q379" s="6" t="str">
        <f t="shared" si="137"/>
        <v>OKE</v>
      </c>
      <c r="R379" s="6"/>
    </row>
    <row r="380" spans="1:18" ht="14.1" hidden="1" customHeight="1" x14ac:dyDescent="0.2">
      <c r="A380" s="407" t="s">
        <v>111</v>
      </c>
      <c r="B380" s="407"/>
      <c r="C380" s="407"/>
      <c r="D380" s="407"/>
      <c r="E380" s="407"/>
      <c r="F380" s="407"/>
      <c r="G380" s="407"/>
      <c r="H380" s="407"/>
      <c r="I380" s="407"/>
      <c r="J380" s="407"/>
      <c r="K380" s="407"/>
      <c r="L380" s="407"/>
      <c r="M380" s="407"/>
      <c r="N380" s="407"/>
      <c r="O380" s="407"/>
      <c r="P380" s="5"/>
      <c r="Q380" s="6" t="str">
        <f t="shared" si="137"/>
        <v>OKE</v>
      </c>
      <c r="R380" s="6"/>
    </row>
    <row r="381" spans="1:18" ht="14.1" hidden="1" customHeight="1" x14ac:dyDescent="0.2">
      <c r="A381" s="361" t="s">
        <v>2</v>
      </c>
      <c r="B381" s="361" t="s">
        <v>3</v>
      </c>
      <c r="C381" s="361" t="s">
        <v>4</v>
      </c>
      <c r="D381" s="361" t="s">
        <v>5</v>
      </c>
      <c r="E381" s="197"/>
      <c r="F381" s="197"/>
      <c r="G381" s="358" t="s">
        <v>11</v>
      </c>
      <c r="H381" s="359"/>
      <c r="I381" s="359"/>
      <c r="J381" s="360"/>
      <c r="K381" s="358" t="s">
        <v>9</v>
      </c>
      <c r="L381" s="359"/>
      <c r="M381" s="359"/>
      <c r="N381" s="360"/>
      <c r="O381" s="361" t="s">
        <v>10</v>
      </c>
      <c r="P381" s="5"/>
      <c r="Q381" s="6" t="str">
        <f t="shared" si="137"/>
        <v>OKE</v>
      </c>
      <c r="R381" s="6"/>
    </row>
    <row r="382" spans="1:18" ht="14.1" hidden="1" customHeight="1" x14ac:dyDescent="0.2">
      <c r="A382" s="362"/>
      <c r="B382" s="362"/>
      <c r="C382" s="362"/>
      <c r="D382" s="362"/>
      <c r="E382" s="44"/>
      <c r="F382" s="44"/>
      <c r="G382" s="358" t="s">
        <v>74</v>
      </c>
      <c r="H382" s="359"/>
      <c r="I382" s="359"/>
      <c r="J382" s="360"/>
      <c r="K382" s="358" t="s">
        <v>12</v>
      </c>
      <c r="L382" s="359"/>
      <c r="M382" s="359"/>
      <c r="N382" s="360"/>
      <c r="O382" s="362"/>
      <c r="P382" s="5"/>
      <c r="Q382" s="6" t="str">
        <f t="shared" si="137"/>
        <v>OKE</v>
      </c>
      <c r="R382" s="6"/>
    </row>
    <row r="383" spans="1:18" ht="15" hidden="1" thickBot="1" x14ac:dyDescent="0.25">
      <c r="A383" s="378"/>
      <c r="B383" s="378"/>
      <c r="C383" s="378"/>
      <c r="D383" s="378"/>
      <c r="E383" s="196"/>
      <c r="F383" s="196"/>
      <c r="G383" s="144" t="s">
        <v>13</v>
      </c>
      <c r="H383" s="145" t="s">
        <v>14</v>
      </c>
      <c r="I383" s="144" t="s">
        <v>15</v>
      </c>
      <c r="J383" s="144" t="s">
        <v>16</v>
      </c>
      <c r="K383" s="144" t="s">
        <v>13</v>
      </c>
      <c r="L383" s="144" t="s">
        <v>14</v>
      </c>
      <c r="M383" s="144" t="s">
        <v>15</v>
      </c>
      <c r="N383" s="144" t="s">
        <v>16</v>
      </c>
      <c r="O383" s="378"/>
      <c r="P383" s="5"/>
      <c r="Q383" s="6" t="str">
        <f t="shared" si="137"/>
        <v>OKE</v>
      </c>
      <c r="R383" s="6"/>
    </row>
    <row r="384" spans="1:18" ht="15" hidden="1" thickBot="1" x14ac:dyDescent="0.25">
      <c r="A384" s="2">
        <v>1</v>
      </c>
      <c r="B384" s="2">
        <v>2</v>
      </c>
      <c r="C384" s="2">
        <v>3</v>
      </c>
      <c r="D384" s="2">
        <v>4</v>
      </c>
      <c r="E384" s="2"/>
      <c r="F384" s="2"/>
      <c r="G384" s="2">
        <v>5</v>
      </c>
      <c r="H384" s="145">
        <v>6</v>
      </c>
      <c r="I384" s="45" t="s">
        <v>77</v>
      </c>
      <c r="J384" s="45" t="s">
        <v>78</v>
      </c>
      <c r="K384" s="45">
        <v>9</v>
      </c>
      <c r="L384" s="45">
        <v>10</v>
      </c>
      <c r="M384" s="45" t="s">
        <v>79</v>
      </c>
      <c r="N384" s="45" t="s">
        <v>80</v>
      </c>
      <c r="O384" s="45" t="s">
        <v>81</v>
      </c>
      <c r="P384" s="5"/>
      <c r="Q384" s="6" t="str">
        <f t="shared" si="137"/>
        <v>OKE</v>
      </c>
      <c r="R384" s="6"/>
    </row>
    <row r="385" spans="1:18" ht="15" hidden="1" thickBot="1" x14ac:dyDescent="0.25">
      <c r="A385" s="74"/>
      <c r="B385" s="76"/>
      <c r="C385" s="76"/>
      <c r="D385" s="8"/>
      <c r="E385" s="8"/>
      <c r="F385" s="8"/>
      <c r="G385" s="76"/>
      <c r="H385" s="82"/>
      <c r="I385" s="76"/>
      <c r="J385" s="76"/>
      <c r="K385" s="76"/>
      <c r="L385" s="76"/>
      <c r="M385" s="76"/>
      <c r="N385" s="241"/>
      <c r="O385" s="241"/>
      <c r="P385" s="5"/>
      <c r="Q385" s="6" t="str">
        <f t="shared" si="137"/>
        <v>OKE</v>
      </c>
      <c r="R385" s="6"/>
    </row>
    <row r="386" spans="1:18" ht="15" hidden="1" thickBot="1" x14ac:dyDescent="0.25">
      <c r="A386" s="74"/>
      <c r="B386" s="76"/>
      <c r="C386" s="244" t="s">
        <v>97</v>
      </c>
      <c r="D386" s="8"/>
      <c r="E386" s="8"/>
      <c r="F386" s="8"/>
      <c r="G386" s="76"/>
      <c r="H386" s="82"/>
      <c r="I386" s="76"/>
      <c r="J386" s="76"/>
      <c r="K386" s="76"/>
      <c r="L386" s="76"/>
      <c r="M386" s="76"/>
      <c r="N386" s="76"/>
      <c r="O386" s="76"/>
      <c r="P386" s="5"/>
      <c r="Q386" s="6" t="str">
        <f t="shared" si="137"/>
        <v>OKE</v>
      </c>
      <c r="R386" s="6"/>
    </row>
    <row r="387" spans="1:18" ht="15" hidden="1" thickBot="1" x14ac:dyDescent="0.25">
      <c r="A387" s="74"/>
      <c r="B387" s="74"/>
      <c r="C387" s="76"/>
      <c r="D387" s="53"/>
      <c r="E387" s="53"/>
      <c r="F387" s="53"/>
      <c r="G387" s="268"/>
      <c r="H387" s="269"/>
      <c r="I387" s="268"/>
      <c r="J387" s="268"/>
      <c r="K387" s="268"/>
      <c r="L387" s="76"/>
      <c r="M387" s="76"/>
      <c r="N387" s="76"/>
      <c r="O387" s="76"/>
      <c r="P387" s="5"/>
      <c r="Q387" s="6" t="str">
        <f t="shared" si="137"/>
        <v>OKE</v>
      </c>
      <c r="R387" s="6"/>
    </row>
    <row r="388" spans="1:18" ht="15" hidden="1" thickBot="1" x14ac:dyDescent="0.25">
      <c r="A388" s="7" t="s">
        <v>22</v>
      </c>
      <c r="B388" s="7" t="s">
        <v>23</v>
      </c>
      <c r="C388" s="9" t="s">
        <v>45</v>
      </c>
      <c r="D388" s="10">
        <f>+D390+D392+D397+D399+D401+D403+D405+D407</f>
        <v>268080000</v>
      </c>
      <c r="E388" s="10"/>
      <c r="F388" s="10"/>
      <c r="G388" s="10">
        <f>+G390+G392+G397+G399+G401+G403+G405+G407</f>
        <v>133763800</v>
      </c>
      <c r="H388" s="11">
        <f>+H390+H392+H397+H399+H401+H403+H405+H407</f>
        <v>8628300</v>
      </c>
      <c r="I388" s="10">
        <f>+G388+H388</f>
        <v>142392100</v>
      </c>
      <c r="J388" s="12">
        <f>+I388/D388</f>
        <v>0.53115525216353332</v>
      </c>
      <c r="K388" s="10">
        <f>+K390+K392+K397+K399+K401+K403+K405+K407</f>
        <v>114241700</v>
      </c>
      <c r="L388" s="10">
        <f>+L390+L392+L397+L399+L401+L403+L405+L407</f>
        <v>26474800</v>
      </c>
      <c r="M388" s="10">
        <f>+K388+L388</f>
        <v>140716500</v>
      </c>
      <c r="N388" s="12">
        <f>+M388/D388</f>
        <v>0.52490487914055506</v>
      </c>
      <c r="O388" s="10">
        <f>+D388-I388</f>
        <v>125687900</v>
      </c>
      <c r="P388" s="5"/>
      <c r="Q388" s="6" t="str">
        <f t="shared" si="137"/>
        <v>OKE</v>
      </c>
      <c r="R388" s="6"/>
    </row>
    <row r="389" spans="1:18" ht="15" hidden="1" thickBot="1" x14ac:dyDescent="0.25">
      <c r="A389" s="74"/>
      <c r="B389" s="74"/>
      <c r="C389" s="76"/>
      <c r="D389" s="53"/>
      <c r="E389" s="53"/>
      <c r="F389" s="53"/>
      <c r="G389" s="268"/>
      <c r="H389" s="269"/>
      <c r="I389" s="268"/>
      <c r="J389" s="268"/>
      <c r="K389" s="268"/>
      <c r="L389" s="76"/>
      <c r="M389" s="76"/>
      <c r="N389" s="76"/>
      <c r="O389" s="76"/>
      <c r="P389" s="5"/>
      <c r="Q389" s="6" t="str">
        <f t="shared" si="137"/>
        <v>OKE</v>
      </c>
      <c r="R389" s="6"/>
    </row>
    <row r="390" spans="1:18" ht="15" hidden="1" thickBot="1" x14ac:dyDescent="0.25">
      <c r="A390" s="74">
        <v>1</v>
      </c>
      <c r="B390" s="75" t="s">
        <v>43</v>
      </c>
      <c r="C390" s="76" t="s">
        <v>98</v>
      </c>
      <c r="D390" s="15">
        <v>15000000</v>
      </c>
      <c r="E390" s="15"/>
      <c r="F390" s="15"/>
      <c r="G390" s="80">
        <v>11390500</v>
      </c>
      <c r="H390" s="79">
        <v>1097000</v>
      </c>
      <c r="I390" s="15">
        <f>+G390+H390</f>
        <v>12487500</v>
      </c>
      <c r="J390" s="16">
        <f>+I390/D390</f>
        <v>0.83250000000000002</v>
      </c>
      <c r="K390" s="80">
        <v>8898000</v>
      </c>
      <c r="L390" s="80">
        <v>1952000</v>
      </c>
      <c r="M390" s="80">
        <f>+K390+L390</f>
        <v>10850000</v>
      </c>
      <c r="N390" s="16">
        <f>+M390/D390</f>
        <v>0.72333333333333338</v>
      </c>
      <c r="O390" s="80">
        <f>+D390-I390</f>
        <v>2512500</v>
      </c>
      <c r="P390" s="5"/>
      <c r="Q390" s="6" t="str">
        <f t="shared" si="137"/>
        <v>OKE</v>
      </c>
      <c r="R390" s="6"/>
    </row>
    <row r="391" spans="1:18" ht="15" hidden="1" thickBot="1" x14ac:dyDescent="0.25">
      <c r="A391" s="74"/>
      <c r="B391" s="74"/>
      <c r="C391" s="76"/>
      <c r="D391" s="15"/>
      <c r="E391" s="15"/>
      <c r="F391" s="15"/>
      <c r="G391" s="80"/>
      <c r="H391" s="79"/>
      <c r="I391" s="80"/>
      <c r="J391" s="80"/>
      <c r="K391" s="80"/>
      <c r="L391" s="76"/>
      <c r="M391" s="76"/>
      <c r="N391" s="76"/>
      <c r="O391" s="76"/>
      <c r="P391" s="5"/>
      <c r="Q391" s="6" t="str">
        <f t="shared" si="137"/>
        <v>OKE</v>
      </c>
      <c r="R391" s="6"/>
    </row>
    <row r="392" spans="1:18" ht="15" hidden="1" thickBot="1" x14ac:dyDescent="0.25">
      <c r="A392" s="74">
        <v>2</v>
      </c>
      <c r="B392" s="75" t="s">
        <v>39</v>
      </c>
      <c r="C392" s="76" t="s">
        <v>50</v>
      </c>
      <c r="D392" s="15">
        <v>5000000</v>
      </c>
      <c r="E392" s="15"/>
      <c r="F392" s="15"/>
      <c r="G392" s="80">
        <v>4980000</v>
      </c>
      <c r="H392" s="79">
        <v>0</v>
      </c>
      <c r="I392" s="15">
        <f>+G392+H392</f>
        <v>4980000</v>
      </c>
      <c r="J392" s="16">
        <f>+I392/D392</f>
        <v>0.996</v>
      </c>
      <c r="K392" s="80">
        <v>3320000</v>
      </c>
      <c r="L392" s="80">
        <v>1660000</v>
      </c>
      <c r="M392" s="80">
        <f>+K392+L392</f>
        <v>4980000</v>
      </c>
      <c r="N392" s="16">
        <f>+M392/D392</f>
        <v>0.996</v>
      </c>
      <c r="O392" s="80">
        <f>+D392-I392</f>
        <v>20000</v>
      </c>
      <c r="P392" s="5"/>
      <c r="Q392" s="6" t="str">
        <f t="shared" si="137"/>
        <v>OKE</v>
      </c>
      <c r="R392" s="6"/>
    </row>
    <row r="393" spans="1:18" ht="15" hidden="1" thickBot="1" x14ac:dyDescent="0.25">
      <c r="A393" s="74"/>
      <c r="B393" s="75"/>
      <c r="C393" s="76"/>
      <c r="D393" s="15"/>
      <c r="E393" s="15"/>
      <c r="F393" s="15"/>
      <c r="G393" s="80"/>
      <c r="H393" s="79"/>
      <c r="I393" s="15"/>
      <c r="J393" s="16"/>
      <c r="K393" s="80"/>
      <c r="L393" s="80"/>
      <c r="M393" s="80"/>
      <c r="N393" s="16"/>
      <c r="O393" s="80"/>
      <c r="P393" s="5"/>
      <c r="Q393" s="6" t="str">
        <f t="shared" si="137"/>
        <v>OKE</v>
      </c>
      <c r="R393" s="6"/>
    </row>
    <row r="394" spans="1:18" ht="15" hidden="1" thickBot="1" x14ac:dyDescent="0.25">
      <c r="A394" s="74"/>
      <c r="B394" s="18" t="s">
        <v>24</v>
      </c>
      <c r="C394" s="19" t="s">
        <v>25</v>
      </c>
      <c r="D394" s="20">
        <v>77530000</v>
      </c>
      <c r="E394" s="20"/>
      <c r="F394" s="20"/>
      <c r="G394" s="20">
        <v>37840000</v>
      </c>
      <c r="H394" s="21">
        <v>3330000</v>
      </c>
      <c r="I394" s="20">
        <f>+G394+H394</f>
        <v>41170000</v>
      </c>
      <c r="J394" s="22">
        <f>+I394/D394</f>
        <v>0.53102025022571908</v>
      </c>
      <c r="K394" s="20">
        <v>34735000</v>
      </c>
      <c r="L394" s="20">
        <v>2880000</v>
      </c>
      <c r="M394" s="20">
        <f>+K394+L394</f>
        <v>37615000</v>
      </c>
      <c r="N394" s="22">
        <f>+M394/D394</f>
        <v>0.48516703211660001</v>
      </c>
      <c r="O394" s="20">
        <f>+D394-I394</f>
        <v>36360000</v>
      </c>
      <c r="P394" s="5"/>
      <c r="Q394" s="6" t="str">
        <f t="shared" si="137"/>
        <v>OKE</v>
      </c>
      <c r="R394" s="6"/>
    </row>
    <row r="395" spans="1:18" ht="15" hidden="1" thickBot="1" x14ac:dyDescent="0.25">
      <c r="A395" s="74"/>
      <c r="B395" s="18" t="s">
        <v>24</v>
      </c>
      <c r="C395" s="19" t="s">
        <v>28</v>
      </c>
      <c r="D395" s="20">
        <v>-34450000</v>
      </c>
      <c r="E395" s="20"/>
      <c r="F395" s="20"/>
      <c r="G395" s="20"/>
      <c r="H395" s="21">
        <v>-9800000</v>
      </c>
      <c r="I395" s="20"/>
      <c r="J395" s="22"/>
      <c r="K395" s="20"/>
      <c r="L395" s="20">
        <v>-9800000</v>
      </c>
      <c r="M395" s="20"/>
      <c r="N395" s="22"/>
      <c r="O395" s="20"/>
      <c r="P395" s="5"/>
      <c r="Q395" s="6" t="str">
        <f t="shared" si="137"/>
        <v>OKE</v>
      </c>
      <c r="R395" s="6"/>
    </row>
    <row r="396" spans="1:18" ht="15" hidden="1" thickBot="1" x14ac:dyDescent="0.25">
      <c r="A396" s="74"/>
      <c r="B396" s="74"/>
      <c r="C396" s="76"/>
      <c r="D396" s="15"/>
      <c r="E396" s="15"/>
      <c r="F396" s="15"/>
      <c r="G396" s="80"/>
      <c r="H396" s="79"/>
      <c r="I396" s="15"/>
      <c r="J396" s="16"/>
      <c r="K396" s="80"/>
      <c r="L396" s="76"/>
      <c r="M396" s="80"/>
      <c r="N396" s="16"/>
      <c r="O396" s="80"/>
      <c r="P396" s="5"/>
      <c r="Q396" s="6" t="str">
        <f t="shared" si="137"/>
        <v>OKE</v>
      </c>
      <c r="R396" s="6"/>
    </row>
    <row r="397" spans="1:18" ht="15" hidden="1" thickBot="1" x14ac:dyDescent="0.25">
      <c r="A397" s="74">
        <v>4</v>
      </c>
      <c r="B397" s="75" t="s">
        <v>24</v>
      </c>
      <c r="C397" s="76" t="s">
        <v>25</v>
      </c>
      <c r="D397" s="15">
        <v>43080000</v>
      </c>
      <c r="E397" s="15"/>
      <c r="F397" s="15"/>
      <c r="G397" s="80">
        <v>38030000</v>
      </c>
      <c r="H397" s="79">
        <v>0</v>
      </c>
      <c r="I397" s="15">
        <f>+G397+H397</f>
        <v>38030000</v>
      </c>
      <c r="J397" s="16">
        <f>+I397/D397</f>
        <v>0.88277623026926644</v>
      </c>
      <c r="K397" s="80">
        <v>31370000</v>
      </c>
      <c r="L397" s="80">
        <v>6660000</v>
      </c>
      <c r="M397" s="80">
        <f>+K397+L397</f>
        <v>38030000</v>
      </c>
      <c r="N397" s="16">
        <f>+M397/D397</f>
        <v>0.88277623026926644</v>
      </c>
      <c r="O397" s="80">
        <f>+D397-I397</f>
        <v>5050000</v>
      </c>
      <c r="P397" s="5"/>
      <c r="Q397" s="6" t="str">
        <f t="shared" si="137"/>
        <v>OKE</v>
      </c>
      <c r="R397" s="6"/>
    </row>
    <row r="398" spans="1:18" ht="15" hidden="1" thickBot="1" x14ac:dyDescent="0.25">
      <c r="A398" s="74"/>
      <c r="B398" s="74"/>
      <c r="C398" s="76"/>
      <c r="D398" s="15"/>
      <c r="E398" s="15"/>
      <c r="F398" s="15"/>
      <c r="G398" s="80"/>
      <c r="H398" s="79"/>
      <c r="I398" s="80"/>
      <c r="J398" s="80"/>
      <c r="K398" s="80"/>
      <c r="L398" s="76"/>
      <c r="M398" s="76"/>
      <c r="N398" s="76"/>
      <c r="O398" s="76"/>
      <c r="P398" s="5"/>
      <c r="Q398" s="6" t="str">
        <f t="shared" si="137"/>
        <v>OKE</v>
      </c>
      <c r="R398" s="6"/>
    </row>
    <row r="399" spans="1:18" ht="15" hidden="1" thickBot="1" x14ac:dyDescent="0.25">
      <c r="A399" s="74">
        <v>5</v>
      </c>
      <c r="B399" s="75" t="s">
        <v>46</v>
      </c>
      <c r="C399" s="76" t="s">
        <v>47</v>
      </c>
      <c r="D399" s="15">
        <v>30000000</v>
      </c>
      <c r="E399" s="15"/>
      <c r="F399" s="15"/>
      <c r="G399" s="80">
        <v>15789600</v>
      </c>
      <c r="H399" s="79">
        <v>1434200</v>
      </c>
      <c r="I399" s="15">
        <f>+G399+H399</f>
        <v>17223800</v>
      </c>
      <c r="J399" s="16">
        <f>+I399/D399</f>
        <v>0.57412666666666667</v>
      </c>
      <c r="K399" s="80">
        <v>14316300</v>
      </c>
      <c r="L399" s="80">
        <v>2869400</v>
      </c>
      <c r="M399" s="80">
        <f>+K399+L399</f>
        <v>17185700</v>
      </c>
      <c r="N399" s="16">
        <f>+M399/D399</f>
        <v>0.57285666666666668</v>
      </c>
      <c r="O399" s="80">
        <f>+D399-I399</f>
        <v>12776200</v>
      </c>
      <c r="P399" s="5"/>
      <c r="Q399" s="6" t="str">
        <f t="shared" si="137"/>
        <v>OKE</v>
      </c>
      <c r="R399" s="6"/>
    </row>
    <row r="400" spans="1:18" ht="15" hidden="1" thickBot="1" x14ac:dyDescent="0.25">
      <c r="A400" s="74"/>
      <c r="B400" s="74"/>
      <c r="C400" s="76"/>
      <c r="D400" s="15"/>
      <c r="E400" s="15"/>
      <c r="F400" s="15"/>
      <c r="G400" s="80"/>
      <c r="H400" s="79"/>
      <c r="I400" s="80"/>
      <c r="J400" s="80"/>
      <c r="K400" s="80"/>
      <c r="L400" s="76"/>
      <c r="M400" s="76"/>
      <c r="N400" s="76"/>
      <c r="O400" s="76"/>
      <c r="P400" s="5"/>
      <c r="Q400" s="6" t="str">
        <f t="shared" si="137"/>
        <v>OKE</v>
      </c>
      <c r="R400" s="6"/>
    </row>
    <row r="401" spans="1:18" ht="15" hidden="1" thickBot="1" x14ac:dyDescent="0.25">
      <c r="A401" s="74">
        <v>6</v>
      </c>
      <c r="B401" s="75" t="s">
        <v>26</v>
      </c>
      <c r="C401" s="76" t="s">
        <v>27</v>
      </c>
      <c r="D401" s="15">
        <v>98400000</v>
      </c>
      <c r="E401" s="15"/>
      <c r="F401" s="15"/>
      <c r="G401" s="80">
        <v>27741800</v>
      </c>
      <c r="H401" s="79">
        <v>1373600</v>
      </c>
      <c r="I401" s="15">
        <f>+G401+H401</f>
        <v>29115400</v>
      </c>
      <c r="J401" s="16">
        <f>+I401/D401</f>
        <v>0.2958882113821138</v>
      </c>
      <c r="K401" s="80">
        <v>26392700</v>
      </c>
      <c r="L401" s="80">
        <v>2722700</v>
      </c>
      <c r="M401" s="80">
        <f>+K401+L401</f>
        <v>29115400</v>
      </c>
      <c r="N401" s="16">
        <f>+M401/D401</f>
        <v>0.2958882113821138</v>
      </c>
      <c r="O401" s="80">
        <f>+D401-I401</f>
        <v>69284600</v>
      </c>
      <c r="P401" s="5"/>
      <c r="Q401" s="6" t="str">
        <f t="shared" si="137"/>
        <v>OKE</v>
      </c>
      <c r="R401" s="6"/>
    </row>
    <row r="402" spans="1:18" ht="15" hidden="1" thickBot="1" x14ac:dyDescent="0.25">
      <c r="A402" s="74"/>
      <c r="B402" s="75"/>
      <c r="C402" s="76"/>
      <c r="D402" s="15"/>
      <c r="E402" s="15"/>
      <c r="F402" s="15"/>
      <c r="G402" s="80"/>
      <c r="H402" s="79"/>
      <c r="I402" s="10"/>
      <c r="J402" s="16"/>
      <c r="K402" s="80"/>
      <c r="L402" s="93"/>
      <c r="M402" s="80"/>
      <c r="N402" s="16"/>
      <c r="O402" s="80"/>
      <c r="P402" s="5"/>
      <c r="Q402" s="6" t="str">
        <f t="shared" si="137"/>
        <v>OKE</v>
      </c>
      <c r="R402" s="6"/>
    </row>
    <row r="403" spans="1:18" ht="15" hidden="1" thickBot="1" x14ac:dyDescent="0.25">
      <c r="A403" s="74">
        <v>7</v>
      </c>
      <c r="B403" s="75" t="s">
        <v>44</v>
      </c>
      <c r="C403" s="76" t="s">
        <v>57</v>
      </c>
      <c r="D403" s="15">
        <v>5000000</v>
      </c>
      <c r="E403" s="15"/>
      <c r="F403" s="15"/>
      <c r="G403" s="80">
        <v>4999000</v>
      </c>
      <c r="H403" s="79">
        <v>0</v>
      </c>
      <c r="I403" s="15">
        <f>+G403+H403</f>
        <v>4999000</v>
      </c>
      <c r="J403" s="16">
        <v>0.999</v>
      </c>
      <c r="K403" s="80">
        <v>3953500</v>
      </c>
      <c r="L403" s="80">
        <v>1045500</v>
      </c>
      <c r="M403" s="80">
        <f>+K403+L403</f>
        <v>4999000</v>
      </c>
      <c r="N403" s="16">
        <f>+M403/D403</f>
        <v>0.99980000000000002</v>
      </c>
      <c r="O403" s="80">
        <f>+D403-I403</f>
        <v>1000</v>
      </c>
      <c r="P403" s="5"/>
      <c r="Q403" s="6" t="str">
        <f t="shared" si="137"/>
        <v>OKE</v>
      </c>
      <c r="R403" s="6"/>
    </row>
    <row r="404" spans="1:18" ht="15" hidden="1" thickBot="1" x14ac:dyDescent="0.25">
      <c r="A404" s="74"/>
      <c r="B404" s="74"/>
      <c r="C404" s="76"/>
      <c r="D404" s="15"/>
      <c r="E404" s="15"/>
      <c r="F404" s="15"/>
      <c r="G404" s="80"/>
      <c r="H404" s="79"/>
      <c r="I404" s="80"/>
      <c r="J404" s="80"/>
      <c r="K404" s="80"/>
      <c r="L404" s="76"/>
      <c r="M404" s="76"/>
      <c r="N404" s="76"/>
      <c r="O404" s="76"/>
      <c r="P404" s="5"/>
      <c r="Q404" s="6" t="str">
        <f t="shared" si="137"/>
        <v>OKE</v>
      </c>
      <c r="R404" s="6"/>
    </row>
    <row r="405" spans="1:18" ht="15" hidden="1" thickBot="1" x14ac:dyDescent="0.25">
      <c r="A405" s="74">
        <v>8</v>
      </c>
      <c r="B405" s="75" t="s">
        <v>29</v>
      </c>
      <c r="C405" s="76" t="s">
        <v>30</v>
      </c>
      <c r="D405" s="15">
        <v>51600000</v>
      </c>
      <c r="E405" s="15"/>
      <c r="F405" s="15"/>
      <c r="G405" s="80">
        <v>13832900</v>
      </c>
      <c r="H405" s="79">
        <v>1723500</v>
      </c>
      <c r="I405" s="15">
        <f>+G405+H405</f>
        <v>15556400</v>
      </c>
      <c r="J405" s="16">
        <f>+I405/D405</f>
        <v>0.30148062015503874</v>
      </c>
      <c r="K405" s="80">
        <v>12211200</v>
      </c>
      <c r="L405" s="80">
        <v>3345200</v>
      </c>
      <c r="M405" s="80">
        <f>+K405+L405</f>
        <v>15556400</v>
      </c>
      <c r="N405" s="16">
        <f>+M405/D405</f>
        <v>0.30148062015503874</v>
      </c>
      <c r="O405" s="80">
        <f>+D405-I405</f>
        <v>36043600</v>
      </c>
      <c r="P405" s="5"/>
      <c r="Q405" s="6" t="str">
        <f t="shared" si="137"/>
        <v>OKE</v>
      </c>
      <c r="R405" s="6"/>
    </row>
    <row r="406" spans="1:18" ht="15" hidden="1" thickBot="1" x14ac:dyDescent="0.25">
      <c r="A406" s="74"/>
      <c r="B406" s="74"/>
      <c r="C406" s="76"/>
      <c r="D406" s="15"/>
      <c r="E406" s="15"/>
      <c r="F406" s="15"/>
      <c r="G406" s="80"/>
      <c r="H406" s="79"/>
      <c r="I406" s="80"/>
      <c r="J406" s="80"/>
      <c r="K406" s="80"/>
      <c r="L406" s="76"/>
      <c r="M406" s="76"/>
      <c r="N406" s="76"/>
      <c r="O406" s="76"/>
      <c r="P406" s="5"/>
      <c r="Q406" s="6" t="str">
        <f t="shared" si="137"/>
        <v>OKE</v>
      </c>
      <c r="R406" s="6"/>
    </row>
    <row r="407" spans="1:18" ht="15" hidden="1" thickBot="1" x14ac:dyDescent="0.25">
      <c r="A407" s="74">
        <v>9</v>
      </c>
      <c r="B407" s="75" t="s">
        <v>62</v>
      </c>
      <c r="C407" s="76" t="s">
        <v>68</v>
      </c>
      <c r="D407" s="15">
        <v>20000000</v>
      </c>
      <c r="E407" s="15"/>
      <c r="F407" s="15"/>
      <c r="G407" s="80">
        <v>17000000</v>
      </c>
      <c r="H407" s="79">
        <v>3000000</v>
      </c>
      <c r="I407" s="15">
        <f>+G407+H407</f>
        <v>20000000</v>
      </c>
      <c r="J407" s="16">
        <f>+I407/D407</f>
        <v>1</v>
      </c>
      <c r="K407" s="80">
        <v>13780000</v>
      </c>
      <c r="L407" s="80">
        <v>6220000</v>
      </c>
      <c r="M407" s="80">
        <f>+K407+L407</f>
        <v>20000000</v>
      </c>
      <c r="N407" s="16">
        <f>+M407/D407</f>
        <v>1</v>
      </c>
      <c r="O407" s="80">
        <f>+D407-I407</f>
        <v>0</v>
      </c>
      <c r="P407" s="5"/>
      <c r="Q407" s="6" t="str">
        <f t="shared" si="137"/>
        <v>OKE</v>
      </c>
      <c r="R407" s="6"/>
    </row>
    <row r="408" spans="1:18" ht="15" hidden="1" thickBot="1" x14ac:dyDescent="0.25">
      <c r="A408" s="74"/>
      <c r="B408" s="74"/>
      <c r="C408" s="76"/>
      <c r="D408" s="15"/>
      <c r="E408" s="15"/>
      <c r="F408" s="15"/>
      <c r="G408" s="80"/>
      <c r="H408" s="79"/>
      <c r="I408" s="80"/>
      <c r="J408" s="80"/>
      <c r="K408" s="80"/>
      <c r="L408" s="76"/>
      <c r="M408" s="76"/>
      <c r="N408" s="76"/>
      <c r="O408" s="76"/>
      <c r="P408" s="5"/>
      <c r="Q408" s="6" t="str">
        <f t="shared" si="137"/>
        <v>OKE</v>
      </c>
      <c r="R408" s="6"/>
    </row>
    <row r="409" spans="1:18" ht="15" hidden="1" thickBot="1" x14ac:dyDescent="0.25">
      <c r="A409" s="74"/>
      <c r="B409" s="74"/>
      <c r="C409" s="9" t="s">
        <v>48</v>
      </c>
      <c r="D409" s="10">
        <f>+D407+D405+D403+D401+D399+D397+D392+D390</f>
        <v>268080000</v>
      </c>
      <c r="E409" s="10"/>
      <c r="F409" s="10"/>
      <c r="G409" s="10">
        <f>+G407+G405+G403+G401+G399+G397+G392+G390</f>
        <v>133763800</v>
      </c>
      <c r="H409" s="11">
        <f>+H407+H405+H403+H401+H399+H397+H392+H390</f>
        <v>8628300</v>
      </c>
      <c r="I409" s="10">
        <f>+G409+H409</f>
        <v>142392100</v>
      </c>
      <c r="J409" s="12">
        <f>+I409/D409</f>
        <v>0.53115525216353332</v>
      </c>
      <c r="K409" s="10">
        <f>+K407+K405+K403+K401+K399+K397+K392+K390</f>
        <v>114241700</v>
      </c>
      <c r="L409" s="10">
        <f>+L407+L405+L403+L401+L399+L397+L392+L390</f>
        <v>26474800</v>
      </c>
      <c r="M409" s="10">
        <f>+K409+L409</f>
        <v>140716500</v>
      </c>
      <c r="N409" s="12">
        <f>+M409/D409</f>
        <v>0.52490487914055506</v>
      </c>
      <c r="O409" s="10">
        <f>+D409-I409</f>
        <v>125687900</v>
      </c>
      <c r="P409" s="5"/>
      <c r="Q409" s="6" t="str">
        <f t="shared" si="137"/>
        <v>OKE</v>
      </c>
      <c r="R409" s="6"/>
    </row>
    <row r="410" spans="1:18" ht="15" hidden="1" thickBot="1" x14ac:dyDescent="0.25">
      <c r="A410" s="85"/>
      <c r="B410" s="85"/>
      <c r="C410" s="34" t="s">
        <v>31</v>
      </c>
      <c r="D410" s="35"/>
      <c r="E410" s="35"/>
      <c r="F410" s="35"/>
      <c r="G410" s="259"/>
      <c r="H410" s="260"/>
      <c r="I410" s="259"/>
      <c r="J410" s="259"/>
      <c r="K410" s="259"/>
      <c r="L410" s="261"/>
      <c r="M410" s="261"/>
      <c r="N410" s="261"/>
      <c r="O410" s="261"/>
      <c r="P410" s="5"/>
      <c r="Q410" s="6" t="str">
        <f t="shared" si="137"/>
        <v>OKE</v>
      </c>
      <c r="R410" s="6"/>
    </row>
    <row r="411" spans="1:18" ht="15" hidden="1" thickBot="1" x14ac:dyDescent="0.25">
      <c r="A411" s="74"/>
      <c r="B411" s="74"/>
      <c r="C411" s="76"/>
      <c r="D411" s="15"/>
      <c r="E411" s="15"/>
      <c r="F411" s="15"/>
      <c r="G411" s="80"/>
      <c r="H411" s="79"/>
      <c r="I411" s="80"/>
      <c r="J411" s="80"/>
      <c r="K411" s="80"/>
      <c r="L411" s="76"/>
      <c r="M411" s="76"/>
      <c r="N411" s="76"/>
      <c r="O411" s="76"/>
      <c r="P411" s="5"/>
      <c r="Q411" s="6" t="str">
        <f t="shared" si="137"/>
        <v>OKE</v>
      </c>
      <c r="R411" s="6"/>
    </row>
    <row r="412" spans="1:18" ht="15" hidden="1" thickBot="1" x14ac:dyDescent="0.25">
      <c r="A412" s="7" t="s">
        <v>32</v>
      </c>
      <c r="B412" s="7" t="s">
        <v>33</v>
      </c>
      <c r="C412" s="9" t="s">
        <v>64</v>
      </c>
      <c r="D412" s="10">
        <f>+D415</f>
        <v>10000000</v>
      </c>
      <c r="E412" s="10"/>
      <c r="F412" s="10"/>
      <c r="G412" s="10">
        <f>+G415</f>
        <v>8500000</v>
      </c>
      <c r="H412" s="11">
        <f>+H415</f>
        <v>0</v>
      </c>
      <c r="I412" s="10">
        <f>+G412+H412</f>
        <v>8500000</v>
      </c>
      <c r="J412" s="12">
        <f>+I412/D412</f>
        <v>0.85</v>
      </c>
      <c r="K412" s="10">
        <f>+K415</f>
        <v>6435000</v>
      </c>
      <c r="L412" s="10">
        <f>+L415</f>
        <v>2420000</v>
      </c>
      <c r="M412" s="10">
        <f>+K412+L412</f>
        <v>8855000</v>
      </c>
      <c r="N412" s="12">
        <f>+M412/D412</f>
        <v>0.88549999999999995</v>
      </c>
      <c r="O412" s="10">
        <f>+D412-I412</f>
        <v>1500000</v>
      </c>
      <c r="P412" s="5"/>
      <c r="Q412" s="6" t="str">
        <f t="shared" si="137"/>
        <v>Salah</v>
      </c>
      <c r="R412" s="6"/>
    </row>
    <row r="413" spans="1:18" ht="15" hidden="1" thickBot="1" x14ac:dyDescent="0.25">
      <c r="A413" s="74"/>
      <c r="B413" s="74"/>
      <c r="C413" s="9" t="s">
        <v>49</v>
      </c>
      <c r="D413" s="15"/>
      <c r="E413" s="15"/>
      <c r="F413" s="15"/>
      <c r="G413" s="80"/>
      <c r="H413" s="79"/>
      <c r="I413" s="80"/>
      <c r="J413" s="80"/>
      <c r="K413" s="80"/>
      <c r="L413" s="76"/>
      <c r="M413" s="76"/>
      <c r="N413" s="76"/>
      <c r="O413" s="76"/>
      <c r="P413" s="5"/>
      <c r="Q413" s="6" t="str">
        <f t="shared" si="137"/>
        <v>OKE</v>
      </c>
      <c r="R413" s="6"/>
    </row>
    <row r="414" spans="1:18" ht="15" hidden="1" thickBot="1" x14ac:dyDescent="0.25">
      <c r="A414" s="74"/>
      <c r="B414" s="74"/>
      <c r="C414" s="76"/>
      <c r="D414" s="15"/>
      <c r="E414" s="15"/>
      <c r="F414" s="15"/>
      <c r="G414" s="80"/>
      <c r="H414" s="79"/>
      <c r="I414" s="80"/>
      <c r="J414" s="80"/>
      <c r="K414" s="80"/>
      <c r="L414" s="76"/>
      <c r="M414" s="76"/>
      <c r="N414" s="76"/>
      <c r="O414" s="76"/>
      <c r="P414" s="5"/>
      <c r="Q414" s="6" t="str">
        <f t="shared" si="137"/>
        <v>OKE</v>
      </c>
      <c r="R414" s="6"/>
    </row>
    <row r="415" spans="1:18" ht="15" hidden="1" thickBot="1" x14ac:dyDescent="0.25">
      <c r="A415" s="74">
        <v>10</v>
      </c>
      <c r="B415" s="75" t="s">
        <v>61</v>
      </c>
      <c r="C415" s="8" t="s">
        <v>99</v>
      </c>
      <c r="D415" s="15">
        <v>10000000</v>
      </c>
      <c r="E415" s="15"/>
      <c r="F415" s="15"/>
      <c r="G415" s="80">
        <v>8500000</v>
      </c>
      <c r="H415" s="79">
        <v>0</v>
      </c>
      <c r="I415" s="15">
        <f>+G415+H415</f>
        <v>8500000</v>
      </c>
      <c r="J415" s="16">
        <f>+I415/D415</f>
        <v>0.85</v>
      </c>
      <c r="K415" s="80">
        <v>6435000</v>
      </c>
      <c r="L415" s="80">
        <v>2420000</v>
      </c>
      <c r="M415" s="80">
        <f>+K415+L415</f>
        <v>8855000</v>
      </c>
      <c r="N415" s="16">
        <f>+M415/D415</f>
        <v>0.88549999999999995</v>
      </c>
      <c r="O415" s="80">
        <f>+D415-I415</f>
        <v>1500000</v>
      </c>
      <c r="P415" s="5"/>
      <c r="Q415" s="6" t="str">
        <f t="shared" si="137"/>
        <v>Salah</v>
      </c>
      <c r="R415" s="6"/>
    </row>
    <row r="416" spans="1:18" ht="15" hidden="1" thickBot="1" x14ac:dyDescent="0.25">
      <c r="A416" s="74"/>
      <c r="B416" s="74"/>
      <c r="C416" s="76"/>
      <c r="D416" s="15"/>
      <c r="E416" s="15"/>
      <c r="F416" s="15"/>
      <c r="G416" s="80"/>
      <c r="H416" s="79"/>
      <c r="I416" s="80"/>
      <c r="J416" s="80"/>
      <c r="K416" s="80"/>
      <c r="L416" s="76"/>
      <c r="M416" s="76"/>
      <c r="N416" s="76"/>
      <c r="O416" s="76"/>
      <c r="P416" s="5"/>
      <c r="Q416" s="6" t="str">
        <f t="shared" si="137"/>
        <v>OKE</v>
      </c>
      <c r="R416" s="6"/>
    </row>
    <row r="417" spans="1:18" ht="15" hidden="1" thickBot="1" x14ac:dyDescent="0.25">
      <c r="A417" s="74"/>
      <c r="B417" s="74"/>
      <c r="C417" s="9" t="s">
        <v>65</v>
      </c>
      <c r="D417" s="10">
        <f>+D415</f>
        <v>10000000</v>
      </c>
      <c r="E417" s="10"/>
      <c r="F417" s="10"/>
      <c r="G417" s="10">
        <f>+G415</f>
        <v>8500000</v>
      </c>
      <c r="H417" s="11">
        <f>+H415</f>
        <v>0</v>
      </c>
      <c r="I417" s="10">
        <f>+G417+H417</f>
        <v>8500000</v>
      </c>
      <c r="J417" s="12">
        <f>+I417/D417</f>
        <v>0.85</v>
      </c>
      <c r="K417" s="10">
        <f>+K415</f>
        <v>6435000</v>
      </c>
      <c r="L417" s="10">
        <f>+L415</f>
        <v>2420000</v>
      </c>
      <c r="M417" s="10">
        <f>+K417+L417</f>
        <v>8855000</v>
      </c>
      <c r="N417" s="12">
        <f>+M417/D417</f>
        <v>0.88549999999999995</v>
      </c>
      <c r="O417" s="10">
        <f>+D417-I417</f>
        <v>1500000</v>
      </c>
      <c r="P417" s="5"/>
      <c r="Q417" s="6" t="str">
        <f t="shared" si="137"/>
        <v>Salah</v>
      </c>
      <c r="R417" s="6"/>
    </row>
    <row r="418" spans="1:18" ht="15" hidden="1" thickBot="1" x14ac:dyDescent="0.25">
      <c r="A418" s="81"/>
      <c r="B418" s="81"/>
      <c r="C418" s="23" t="s">
        <v>66</v>
      </c>
      <c r="D418" s="32"/>
      <c r="E418" s="32"/>
      <c r="F418" s="32"/>
      <c r="G418" s="252"/>
      <c r="H418" s="253"/>
      <c r="I418" s="252"/>
      <c r="J418" s="252"/>
      <c r="K418" s="252"/>
      <c r="L418" s="251"/>
      <c r="M418" s="251"/>
      <c r="N418" s="251"/>
      <c r="O418" s="251"/>
      <c r="P418" s="5"/>
      <c r="Q418" s="6" t="str">
        <f t="shared" si="137"/>
        <v>OKE</v>
      </c>
      <c r="R418" s="6"/>
    </row>
    <row r="419" spans="1:18" ht="15" hidden="1" thickBot="1" x14ac:dyDescent="0.25">
      <c r="B419" s="88"/>
      <c r="C419" s="26"/>
      <c r="D419" s="31"/>
      <c r="E419" s="31"/>
      <c r="F419" s="31"/>
      <c r="G419" s="179"/>
      <c r="H419" s="258"/>
      <c r="I419" s="179"/>
      <c r="J419" s="179"/>
      <c r="K419" s="179"/>
      <c r="L419" s="77"/>
      <c r="M419" s="77"/>
      <c r="N419" s="77"/>
      <c r="O419" s="77"/>
      <c r="P419" s="5"/>
      <c r="Q419" s="6" t="str">
        <f t="shared" si="137"/>
        <v>OKE</v>
      </c>
      <c r="R419" s="6"/>
    </row>
    <row r="420" spans="1:18" ht="15" hidden="1" thickBot="1" x14ac:dyDescent="0.25">
      <c r="B420" s="88"/>
      <c r="C420" s="26"/>
      <c r="D420" s="31"/>
      <c r="E420" s="31"/>
      <c r="F420" s="31"/>
      <c r="G420" s="179"/>
      <c r="H420" s="258"/>
      <c r="I420" s="179"/>
      <c r="J420" s="179"/>
      <c r="K420" s="179"/>
      <c r="L420" s="77"/>
      <c r="M420" s="77"/>
      <c r="N420" s="77"/>
      <c r="O420" s="77"/>
      <c r="P420" s="5"/>
      <c r="Q420" s="6" t="str">
        <f t="shared" si="137"/>
        <v>OKE</v>
      </c>
      <c r="R420" s="6"/>
    </row>
    <row r="421" spans="1:18" ht="15" hidden="1" thickBot="1" x14ac:dyDescent="0.25">
      <c r="B421" s="88"/>
      <c r="C421" s="26"/>
      <c r="D421" s="31"/>
      <c r="E421" s="31"/>
      <c r="F421" s="31"/>
      <c r="G421" s="179"/>
      <c r="H421" s="258"/>
      <c r="I421" s="179"/>
      <c r="J421" s="179"/>
      <c r="K421" s="179"/>
      <c r="L421" s="77"/>
      <c r="M421" s="77"/>
      <c r="N421" s="77"/>
      <c r="O421" s="77"/>
      <c r="P421" s="5"/>
      <c r="Q421" s="6" t="str">
        <f t="shared" si="137"/>
        <v>OKE</v>
      </c>
      <c r="R421" s="6"/>
    </row>
    <row r="422" spans="1:18" ht="15" hidden="1" thickBot="1" x14ac:dyDescent="0.25">
      <c r="B422" s="88"/>
      <c r="C422" s="26"/>
      <c r="D422" s="31"/>
      <c r="E422" s="31"/>
      <c r="F422" s="31"/>
      <c r="G422" s="179"/>
      <c r="H422" s="258"/>
      <c r="I422" s="179"/>
      <c r="J422" s="179"/>
      <c r="K422" s="179"/>
      <c r="L422" s="77"/>
      <c r="M422" s="77"/>
      <c r="N422" s="77"/>
      <c r="O422" s="77"/>
      <c r="P422" s="5"/>
      <c r="Q422" s="6" t="str">
        <f t="shared" si="137"/>
        <v>OKE</v>
      </c>
      <c r="R422" s="6"/>
    </row>
    <row r="423" spans="1:18" ht="15" hidden="1" thickBot="1" x14ac:dyDescent="0.25">
      <c r="B423" s="88"/>
      <c r="C423" s="26"/>
      <c r="D423" s="31"/>
      <c r="E423" s="31"/>
      <c r="F423" s="31"/>
      <c r="G423" s="179"/>
      <c r="H423" s="258"/>
      <c r="I423" s="179"/>
      <c r="J423" s="179"/>
      <c r="K423" s="179"/>
      <c r="L423" s="77"/>
      <c r="M423" s="77"/>
      <c r="N423" s="77"/>
      <c r="O423" s="77"/>
      <c r="P423" s="5"/>
      <c r="Q423" s="6" t="str">
        <f t="shared" si="137"/>
        <v>OKE</v>
      </c>
      <c r="R423" s="6"/>
    </row>
    <row r="424" spans="1:18" ht="15" hidden="1" thickBot="1" x14ac:dyDescent="0.25">
      <c r="B424" s="88"/>
      <c r="C424" s="26"/>
      <c r="D424" s="31"/>
      <c r="E424" s="31"/>
      <c r="F424" s="31"/>
      <c r="G424" s="179"/>
      <c r="H424" s="258"/>
      <c r="I424" s="179"/>
      <c r="J424" s="179"/>
      <c r="K424" s="179"/>
      <c r="L424" s="77"/>
      <c r="M424" s="77"/>
      <c r="N424" s="77"/>
      <c r="O424" s="77"/>
      <c r="P424" s="5"/>
      <c r="Q424" s="6" t="str">
        <f t="shared" si="137"/>
        <v>OKE</v>
      </c>
      <c r="R424" s="6"/>
    </row>
    <row r="425" spans="1:18" ht="15" hidden="1" thickBot="1" x14ac:dyDescent="0.25">
      <c r="B425" s="88"/>
      <c r="C425" s="26"/>
      <c r="D425" s="31"/>
      <c r="E425" s="31"/>
      <c r="F425" s="31"/>
      <c r="G425" s="179"/>
      <c r="H425" s="258"/>
      <c r="I425" s="179"/>
      <c r="J425" s="179"/>
      <c r="K425" s="179"/>
      <c r="L425" s="77"/>
      <c r="M425" s="77"/>
      <c r="N425" s="77"/>
      <c r="O425" s="77"/>
      <c r="P425" s="5"/>
      <c r="Q425" s="6" t="str">
        <f t="shared" si="137"/>
        <v>OKE</v>
      </c>
      <c r="R425" s="6"/>
    </row>
    <row r="426" spans="1:18" ht="15" hidden="1" thickBot="1" x14ac:dyDescent="0.25">
      <c r="B426" s="88"/>
      <c r="C426" s="26"/>
      <c r="D426" s="31"/>
      <c r="E426" s="31"/>
      <c r="F426" s="31"/>
      <c r="G426" s="179"/>
      <c r="H426" s="258"/>
      <c r="I426" s="179"/>
      <c r="J426" s="179"/>
      <c r="K426" s="179"/>
      <c r="L426" s="77"/>
      <c r="M426" s="77"/>
      <c r="N426" s="77"/>
      <c r="O426" s="77"/>
      <c r="P426" s="5"/>
      <c r="Q426" s="6" t="str">
        <f t="shared" si="137"/>
        <v>OKE</v>
      </c>
      <c r="R426" s="6"/>
    </row>
    <row r="427" spans="1:18" ht="15" hidden="1" thickBot="1" x14ac:dyDescent="0.25">
      <c r="B427" s="88"/>
      <c r="C427" s="26"/>
      <c r="D427" s="31"/>
      <c r="E427" s="31"/>
      <c r="F427" s="31"/>
      <c r="G427" s="179"/>
      <c r="H427" s="258"/>
      <c r="I427" s="179"/>
      <c r="J427" s="179"/>
      <c r="K427" s="179"/>
      <c r="L427" s="77"/>
      <c r="M427" s="77"/>
      <c r="N427" s="77"/>
      <c r="O427" s="77"/>
      <c r="P427" s="5"/>
      <c r="Q427" s="6" t="str">
        <f t="shared" si="137"/>
        <v>OKE</v>
      </c>
      <c r="R427" s="6"/>
    </row>
    <row r="428" spans="1:18" ht="15" hidden="1" thickBot="1" x14ac:dyDescent="0.25">
      <c r="B428" s="88"/>
      <c r="C428" s="26"/>
      <c r="D428" s="31"/>
      <c r="E428" s="31"/>
      <c r="F428" s="31"/>
      <c r="G428" s="179"/>
      <c r="H428" s="258"/>
      <c r="I428" s="179"/>
      <c r="J428" s="179"/>
      <c r="K428" s="179"/>
      <c r="L428" s="77"/>
      <c r="M428" s="77"/>
      <c r="N428" s="77"/>
      <c r="O428" s="77"/>
      <c r="P428" s="5"/>
      <c r="Q428" s="6" t="str">
        <f t="shared" si="137"/>
        <v>OKE</v>
      </c>
      <c r="R428" s="6"/>
    </row>
    <row r="429" spans="1:18" ht="15" hidden="1" thickBot="1" x14ac:dyDescent="0.25">
      <c r="B429" s="88"/>
      <c r="C429" s="26"/>
      <c r="D429" s="31"/>
      <c r="E429" s="31"/>
      <c r="F429" s="31"/>
      <c r="G429" s="179"/>
      <c r="H429" s="258"/>
      <c r="I429" s="179"/>
      <c r="J429" s="179"/>
      <c r="K429" s="179"/>
      <c r="L429" s="77"/>
      <c r="M429" s="77"/>
      <c r="N429" s="77"/>
      <c r="O429" s="77"/>
      <c r="P429" s="5"/>
      <c r="Q429" s="6" t="str">
        <f t="shared" si="137"/>
        <v>OKE</v>
      </c>
      <c r="R429" s="6"/>
    </row>
    <row r="430" spans="1:18" ht="15" hidden="1" thickBot="1" x14ac:dyDescent="0.25">
      <c r="B430" s="88"/>
      <c r="C430" s="26"/>
      <c r="D430" s="31"/>
      <c r="E430" s="31"/>
      <c r="F430" s="31"/>
      <c r="G430" s="179"/>
      <c r="H430" s="258"/>
      <c r="I430" s="179"/>
      <c r="J430" s="179"/>
      <c r="K430" s="179"/>
      <c r="L430" s="77"/>
      <c r="M430" s="77"/>
      <c r="N430" s="77"/>
      <c r="O430" s="77"/>
      <c r="P430" s="5"/>
      <c r="Q430" s="6" t="str">
        <f t="shared" si="137"/>
        <v>OKE</v>
      </c>
      <c r="R430" s="6"/>
    </row>
    <row r="431" spans="1:18" ht="15" hidden="1" thickBot="1" x14ac:dyDescent="0.25">
      <c r="B431" s="88"/>
      <c r="C431" s="26"/>
      <c r="D431" s="31"/>
      <c r="E431" s="31"/>
      <c r="F431" s="31"/>
      <c r="G431" s="179"/>
      <c r="H431" s="258"/>
      <c r="I431" s="179"/>
      <c r="J431" s="179"/>
      <c r="K431" s="179"/>
      <c r="L431" s="77"/>
      <c r="M431" s="77"/>
      <c r="N431" s="77"/>
      <c r="O431" s="77"/>
      <c r="P431" s="5"/>
      <c r="Q431" s="6" t="str">
        <f t="shared" si="137"/>
        <v>OKE</v>
      </c>
      <c r="R431" s="6"/>
    </row>
    <row r="432" spans="1:18" ht="15" hidden="1" thickBot="1" x14ac:dyDescent="0.25">
      <c r="B432" s="88"/>
      <c r="C432" s="26"/>
      <c r="D432" s="31"/>
      <c r="E432" s="31"/>
      <c r="F432" s="31"/>
      <c r="G432" s="179"/>
      <c r="H432" s="258"/>
      <c r="I432" s="179"/>
      <c r="J432" s="179"/>
      <c r="K432" s="179"/>
      <c r="L432" s="77"/>
      <c r="M432" s="77"/>
      <c r="N432" s="77"/>
      <c r="O432" s="77"/>
      <c r="P432" s="5"/>
      <c r="Q432" s="6" t="str">
        <f t="shared" si="137"/>
        <v>OKE</v>
      </c>
      <c r="R432" s="6"/>
    </row>
    <row r="433" spans="1:18" ht="15" hidden="1" thickBot="1" x14ac:dyDescent="0.25">
      <c r="B433" s="88"/>
      <c r="C433" s="26"/>
      <c r="D433" s="31"/>
      <c r="E433" s="31"/>
      <c r="F433" s="31"/>
      <c r="G433" s="179"/>
      <c r="H433" s="258"/>
      <c r="I433" s="179"/>
      <c r="J433" s="179"/>
      <c r="K433" s="179"/>
      <c r="L433" s="77"/>
      <c r="M433" s="77"/>
      <c r="N433" s="77"/>
      <c r="O433" s="77"/>
      <c r="P433" s="5"/>
      <c r="Q433" s="6" t="str">
        <f t="shared" si="137"/>
        <v>OKE</v>
      </c>
      <c r="R433" s="6"/>
    </row>
    <row r="434" spans="1:18" ht="15" hidden="1" thickBot="1" x14ac:dyDescent="0.25">
      <c r="B434" s="88"/>
      <c r="C434" s="26"/>
      <c r="D434" s="31"/>
      <c r="E434" s="31"/>
      <c r="F434" s="31"/>
      <c r="G434" s="179"/>
      <c r="H434" s="258"/>
      <c r="I434" s="179"/>
      <c r="J434" s="179"/>
      <c r="K434" s="179"/>
      <c r="L434" s="77"/>
      <c r="M434" s="77"/>
      <c r="N434" s="77"/>
      <c r="O434" s="77"/>
      <c r="P434" s="5"/>
      <c r="Q434" s="6" t="str">
        <f t="shared" si="137"/>
        <v>OKE</v>
      </c>
      <c r="R434" s="6"/>
    </row>
    <row r="435" spans="1:18" ht="14.1" hidden="1" customHeight="1" x14ac:dyDescent="0.2">
      <c r="A435" s="361" t="s">
        <v>2</v>
      </c>
      <c r="B435" s="361" t="s">
        <v>3</v>
      </c>
      <c r="C435" s="361" t="s">
        <v>4</v>
      </c>
      <c r="D435" s="361" t="s">
        <v>5</v>
      </c>
      <c r="E435" s="197"/>
      <c r="F435" s="197"/>
      <c r="G435" s="358" t="s">
        <v>11</v>
      </c>
      <c r="H435" s="359"/>
      <c r="I435" s="359"/>
      <c r="J435" s="360"/>
      <c r="K435" s="358" t="s">
        <v>9</v>
      </c>
      <c r="L435" s="359"/>
      <c r="M435" s="359"/>
      <c r="N435" s="360"/>
      <c r="O435" s="361" t="s">
        <v>10</v>
      </c>
      <c r="P435" s="5"/>
      <c r="Q435" s="6" t="str">
        <f t="shared" si="137"/>
        <v>OKE</v>
      </c>
      <c r="R435" s="6"/>
    </row>
    <row r="436" spans="1:18" ht="14.1" hidden="1" customHeight="1" x14ac:dyDescent="0.2">
      <c r="A436" s="362"/>
      <c r="B436" s="362"/>
      <c r="C436" s="362"/>
      <c r="D436" s="362"/>
      <c r="E436" s="44"/>
      <c r="F436" s="44"/>
      <c r="G436" s="358" t="s">
        <v>74</v>
      </c>
      <c r="H436" s="359"/>
      <c r="I436" s="359"/>
      <c r="J436" s="360"/>
      <c r="K436" s="358" t="s">
        <v>12</v>
      </c>
      <c r="L436" s="359"/>
      <c r="M436" s="359"/>
      <c r="N436" s="360"/>
      <c r="O436" s="362"/>
      <c r="P436" s="5"/>
      <c r="Q436" s="6" t="str">
        <f t="shared" ref="Q436:Q460" si="138">IF(M436&lt;=I436,"OKE","Salah")</f>
        <v>OKE</v>
      </c>
      <c r="R436" s="6"/>
    </row>
    <row r="437" spans="1:18" ht="14.1" hidden="1" customHeight="1" x14ac:dyDescent="0.2">
      <c r="A437" s="378"/>
      <c r="B437" s="378"/>
      <c r="C437" s="378"/>
      <c r="D437" s="378"/>
      <c r="E437" s="196"/>
      <c r="F437" s="196"/>
      <c r="G437" s="144" t="s">
        <v>13</v>
      </c>
      <c r="H437" s="145" t="s">
        <v>14</v>
      </c>
      <c r="I437" s="144" t="s">
        <v>15</v>
      </c>
      <c r="J437" s="144" t="s">
        <v>16</v>
      </c>
      <c r="K437" s="144" t="s">
        <v>13</v>
      </c>
      <c r="L437" s="144" t="s">
        <v>14</v>
      </c>
      <c r="M437" s="144" t="s">
        <v>15</v>
      </c>
      <c r="N437" s="144" t="s">
        <v>16</v>
      </c>
      <c r="O437" s="378"/>
      <c r="P437" s="5"/>
      <c r="Q437" s="6" t="str">
        <f t="shared" si="138"/>
        <v>OKE</v>
      </c>
      <c r="R437" s="6"/>
    </row>
    <row r="438" spans="1:18" ht="15" hidden="1" thickBot="1" x14ac:dyDescent="0.25">
      <c r="A438" s="2">
        <v>1</v>
      </c>
      <c r="B438" s="2">
        <v>2</v>
      </c>
      <c r="C438" s="2">
        <v>3</v>
      </c>
      <c r="D438" s="2">
        <v>4</v>
      </c>
      <c r="E438" s="2"/>
      <c r="F438" s="2"/>
      <c r="G438" s="2">
        <v>5</v>
      </c>
      <c r="H438" s="145">
        <v>6</v>
      </c>
      <c r="I438" s="45" t="s">
        <v>77</v>
      </c>
      <c r="J438" s="45" t="s">
        <v>78</v>
      </c>
      <c r="K438" s="45">
        <v>9</v>
      </c>
      <c r="L438" s="45">
        <v>10</v>
      </c>
      <c r="M438" s="45" t="s">
        <v>79</v>
      </c>
      <c r="N438" s="45" t="s">
        <v>80</v>
      </c>
      <c r="O438" s="45" t="s">
        <v>81</v>
      </c>
      <c r="P438" s="5"/>
      <c r="Q438" s="6" t="str">
        <f t="shared" si="138"/>
        <v>OKE</v>
      </c>
      <c r="R438" s="6"/>
    </row>
    <row r="439" spans="1:18" ht="15" hidden="1" thickBot="1" x14ac:dyDescent="0.25">
      <c r="A439" s="74"/>
      <c r="B439" s="76"/>
      <c r="C439" s="76"/>
      <c r="D439" s="8"/>
      <c r="E439" s="8"/>
      <c r="F439" s="8"/>
      <c r="G439" s="76"/>
      <c r="H439" s="82"/>
      <c r="I439" s="76"/>
      <c r="J439" s="76"/>
      <c r="K439" s="76"/>
      <c r="L439" s="76"/>
      <c r="M439" s="76"/>
      <c r="N439" s="241"/>
      <c r="O439" s="241"/>
      <c r="P439" s="5"/>
      <c r="Q439" s="6" t="str">
        <f t="shared" si="138"/>
        <v>OKE</v>
      </c>
      <c r="R439" s="6"/>
    </row>
    <row r="440" spans="1:18" ht="15" hidden="1" thickBot="1" x14ac:dyDescent="0.25">
      <c r="A440" s="74"/>
      <c r="B440" s="76"/>
      <c r="C440" s="244" t="s">
        <v>97</v>
      </c>
      <c r="D440" s="8"/>
      <c r="E440" s="8"/>
      <c r="F440" s="8"/>
      <c r="G440" s="76"/>
      <c r="H440" s="82"/>
      <c r="I440" s="76"/>
      <c r="J440" s="76"/>
      <c r="K440" s="76"/>
      <c r="L440" s="76"/>
      <c r="M440" s="76"/>
      <c r="N440" s="76"/>
      <c r="O440" s="76"/>
      <c r="P440" s="5"/>
      <c r="Q440" s="6" t="str">
        <f t="shared" si="138"/>
        <v>OKE</v>
      </c>
      <c r="R440" s="6"/>
    </row>
    <row r="441" spans="1:18" ht="15" hidden="1" thickBot="1" x14ac:dyDescent="0.25">
      <c r="A441" s="74"/>
      <c r="B441" s="76"/>
      <c r="C441" s="76"/>
      <c r="D441" s="8"/>
      <c r="E441" s="8"/>
      <c r="F441" s="8"/>
      <c r="G441" s="76"/>
      <c r="H441" s="82"/>
      <c r="I441" s="76"/>
      <c r="J441" s="76"/>
      <c r="K441" s="76"/>
      <c r="L441" s="76"/>
      <c r="M441" s="76"/>
      <c r="N441" s="76"/>
      <c r="O441" s="76"/>
      <c r="P441" s="5"/>
      <c r="Q441" s="6" t="str">
        <f t="shared" si="138"/>
        <v>OKE</v>
      </c>
      <c r="R441" s="6"/>
    </row>
    <row r="442" spans="1:18" ht="15" hidden="1" thickBot="1" x14ac:dyDescent="0.25">
      <c r="A442" s="7" t="s">
        <v>36</v>
      </c>
      <c r="B442" s="7" t="s">
        <v>51</v>
      </c>
      <c r="C442" s="9" t="s">
        <v>100</v>
      </c>
      <c r="D442" s="10">
        <f>+D444+D446</f>
        <v>65000000</v>
      </c>
      <c r="E442" s="10"/>
      <c r="F442" s="10"/>
      <c r="G442" s="10">
        <f>+G444+G446</f>
        <v>63849900</v>
      </c>
      <c r="H442" s="11">
        <f>+H444+H446</f>
        <v>0</v>
      </c>
      <c r="I442" s="10">
        <f>+G442+H442</f>
        <v>63849900</v>
      </c>
      <c r="J442" s="12">
        <f>+I442/D442</f>
        <v>0.98230615384615383</v>
      </c>
      <c r="K442" s="10">
        <f>+K444+K446</f>
        <v>60979900</v>
      </c>
      <c r="L442" s="10">
        <f>+L444+L446</f>
        <v>2675000</v>
      </c>
      <c r="M442" s="10">
        <f>+K442+L442</f>
        <v>63654900</v>
      </c>
      <c r="N442" s="12">
        <f>+M442/D442</f>
        <v>0.97930615384615383</v>
      </c>
      <c r="O442" s="10">
        <f>+D442-I442</f>
        <v>1150100</v>
      </c>
      <c r="P442" s="5"/>
      <c r="Q442" s="6" t="str">
        <f t="shared" si="138"/>
        <v>OKE</v>
      </c>
      <c r="R442" s="6"/>
    </row>
    <row r="443" spans="1:18" ht="15" hidden="1" thickBot="1" x14ac:dyDescent="0.25">
      <c r="A443" s="7"/>
      <c r="B443" s="7"/>
      <c r="C443" s="9"/>
      <c r="D443" s="15"/>
      <c r="E443" s="15"/>
      <c r="F443" s="15"/>
      <c r="G443" s="80"/>
      <c r="H443" s="79"/>
      <c r="I443" s="80"/>
      <c r="J443" s="80"/>
      <c r="K443" s="80"/>
      <c r="L443" s="93"/>
      <c r="M443" s="76"/>
      <c r="N443" s="76"/>
      <c r="O443" s="76"/>
      <c r="P443" s="5"/>
      <c r="Q443" s="6" t="str">
        <f t="shared" si="138"/>
        <v>OKE</v>
      </c>
      <c r="R443" s="6"/>
    </row>
    <row r="444" spans="1:18" ht="15" hidden="1" thickBot="1" x14ac:dyDescent="0.25">
      <c r="A444" s="7"/>
      <c r="B444" s="75" t="s">
        <v>37</v>
      </c>
      <c r="C444" s="8" t="s">
        <v>101</v>
      </c>
      <c r="D444" s="15">
        <v>5000000</v>
      </c>
      <c r="E444" s="15"/>
      <c r="F444" s="15"/>
      <c r="G444" s="80">
        <v>5000000</v>
      </c>
      <c r="H444" s="79">
        <v>0</v>
      </c>
      <c r="I444" s="15">
        <f>+G444+H444</f>
        <v>5000000</v>
      </c>
      <c r="J444" s="16">
        <f>+I444/D444</f>
        <v>1</v>
      </c>
      <c r="K444" s="80">
        <v>2250000</v>
      </c>
      <c r="L444" s="80">
        <v>2675000</v>
      </c>
      <c r="M444" s="80">
        <f>+K444+L444</f>
        <v>4925000</v>
      </c>
      <c r="N444" s="16">
        <f>+M444/D444</f>
        <v>0.98499999999999999</v>
      </c>
      <c r="O444" s="80">
        <f>+D444-I444</f>
        <v>0</v>
      </c>
      <c r="P444" s="5"/>
      <c r="Q444" s="6" t="str">
        <f t="shared" si="138"/>
        <v>OKE</v>
      </c>
      <c r="R444" s="6"/>
    </row>
    <row r="445" spans="1:18" ht="15" hidden="1" thickBot="1" x14ac:dyDescent="0.25">
      <c r="A445" s="7"/>
      <c r="B445" s="7"/>
      <c r="C445" s="9"/>
      <c r="D445" s="15"/>
      <c r="E445" s="15"/>
      <c r="F445" s="15"/>
      <c r="G445" s="80"/>
      <c r="H445" s="79"/>
      <c r="I445" s="80"/>
      <c r="J445" s="80"/>
      <c r="K445" s="80"/>
      <c r="L445" s="93"/>
      <c r="M445" s="76"/>
      <c r="N445" s="76"/>
      <c r="O445" s="76"/>
      <c r="P445" s="5"/>
      <c r="Q445" s="6" t="str">
        <f t="shared" si="138"/>
        <v>OKE</v>
      </c>
      <c r="R445" s="6"/>
    </row>
    <row r="446" spans="1:18" ht="15" hidden="1" thickBot="1" x14ac:dyDescent="0.25">
      <c r="A446" s="74">
        <v>11</v>
      </c>
      <c r="B446" s="75" t="s">
        <v>42</v>
      </c>
      <c r="C446" s="76" t="s">
        <v>102</v>
      </c>
      <c r="D446" s="15">
        <v>60000000</v>
      </c>
      <c r="E446" s="15"/>
      <c r="F446" s="15"/>
      <c r="G446" s="80">
        <v>58849900</v>
      </c>
      <c r="H446" s="79">
        <v>0</v>
      </c>
      <c r="I446" s="15">
        <f>+G446+H446</f>
        <v>58849900</v>
      </c>
      <c r="J446" s="16">
        <f>+I446/D446</f>
        <v>0.98083166666666666</v>
      </c>
      <c r="K446" s="80">
        <v>58729900</v>
      </c>
      <c r="L446" s="80">
        <v>0</v>
      </c>
      <c r="M446" s="80">
        <f>+K446+L446</f>
        <v>58729900</v>
      </c>
      <c r="N446" s="16">
        <f>+M446/D446</f>
        <v>0.97883166666666666</v>
      </c>
      <c r="O446" s="80">
        <f>+D446-I446</f>
        <v>1150100</v>
      </c>
      <c r="P446" s="5"/>
      <c r="Q446" s="6" t="str">
        <f t="shared" si="138"/>
        <v>OKE</v>
      </c>
      <c r="R446" s="6"/>
    </row>
    <row r="447" spans="1:18" ht="15" hidden="1" thickBot="1" x14ac:dyDescent="0.25">
      <c r="A447" s="74"/>
      <c r="B447" s="74"/>
      <c r="C447" s="76"/>
      <c r="D447" s="15"/>
      <c r="E447" s="15"/>
      <c r="F447" s="15"/>
      <c r="G447" s="80"/>
      <c r="H447" s="79"/>
      <c r="I447" s="80"/>
      <c r="J447" s="80"/>
      <c r="K447" s="80"/>
      <c r="L447" s="76"/>
      <c r="M447" s="76"/>
      <c r="N447" s="76"/>
      <c r="O447" s="76"/>
      <c r="P447" s="5"/>
      <c r="Q447" s="6" t="str">
        <f t="shared" si="138"/>
        <v>OKE</v>
      </c>
      <c r="R447" s="6"/>
    </row>
    <row r="448" spans="1:18" ht="15" hidden="1" thickBot="1" x14ac:dyDescent="0.25">
      <c r="A448" s="85"/>
      <c r="B448" s="85"/>
      <c r="C448" s="34" t="s">
        <v>103</v>
      </c>
      <c r="D448" s="41">
        <f>+D446+D444</f>
        <v>65000000</v>
      </c>
      <c r="E448" s="41"/>
      <c r="F448" s="41"/>
      <c r="G448" s="41">
        <f>+G446+G444</f>
        <v>63849900</v>
      </c>
      <c r="H448" s="42">
        <f>+H446+H444</f>
        <v>0</v>
      </c>
      <c r="I448" s="41">
        <f>+G448+H448</f>
        <v>63849900</v>
      </c>
      <c r="J448" s="43">
        <f>+I448/D448</f>
        <v>0.98230615384615383</v>
      </c>
      <c r="K448" s="41">
        <f>+K446+K444</f>
        <v>60979900</v>
      </c>
      <c r="L448" s="41">
        <f>+L446+L444</f>
        <v>2675000</v>
      </c>
      <c r="M448" s="259">
        <f>+K448+L448</f>
        <v>63654900</v>
      </c>
      <c r="N448" s="43">
        <f>+M448/D448</f>
        <v>0.97930615384615383</v>
      </c>
      <c r="O448" s="41">
        <f>+D448-I448</f>
        <v>1150100</v>
      </c>
      <c r="P448" s="5"/>
      <c r="Q448" s="6" t="str">
        <f t="shared" si="138"/>
        <v>OKE</v>
      </c>
      <c r="R448" s="6"/>
    </row>
    <row r="449" spans="1:40" ht="15" hidden="1" thickBot="1" x14ac:dyDescent="0.25">
      <c r="A449" s="74"/>
      <c r="B449" s="74"/>
      <c r="C449" s="76"/>
      <c r="D449" s="15"/>
      <c r="E449" s="15"/>
      <c r="F449" s="15"/>
      <c r="G449" s="80"/>
      <c r="H449" s="79"/>
      <c r="I449" s="80"/>
      <c r="J449" s="80"/>
      <c r="K449" s="80"/>
      <c r="L449" s="76"/>
      <c r="M449" s="76"/>
      <c r="N449" s="76"/>
      <c r="O449" s="76"/>
      <c r="P449" s="5"/>
      <c r="Q449" s="6" t="str">
        <f t="shared" si="138"/>
        <v>OKE</v>
      </c>
      <c r="R449" s="6"/>
    </row>
    <row r="450" spans="1:40" ht="15" hidden="1" thickBot="1" x14ac:dyDescent="0.25">
      <c r="A450" s="7" t="s">
        <v>38</v>
      </c>
      <c r="B450" s="7" t="s">
        <v>104</v>
      </c>
      <c r="C450" s="9" t="s">
        <v>105</v>
      </c>
      <c r="D450" s="10">
        <f>+D452+D454</f>
        <v>65000000</v>
      </c>
      <c r="E450" s="10"/>
      <c r="F450" s="10"/>
      <c r="G450" s="10">
        <f>+G452+G454</f>
        <v>63625000</v>
      </c>
      <c r="H450" s="11">
        <f>+H452+H454</f>
        <v>0</v>
      </c>
      <c r="I450" s="10">
        <f>+G450+H450</f>
        <v>63625000</v>
      </c>
      <c r="J450" s="12">
        <f>+I450/D450</f>
        <v>0.97884615384615381</v>
      </c>
      <c r="K450" s="10">
        <f>+K452+K454</f>
        <v>58383200</v>
      </c>
      <c r="L450" s="10">
        <f>+L452+L454</f>
        <v>5241800</v>
      </c>
      <c r="M450" s="10">
        <f>+K450+L450</f>
        <v>63625000</v>
      </c>
      <c r="N450" s="12">
        <f>+M450/D450</f>
        <v>0.97884615384615381</v>
      </c>
      <c r="O450" s="10">
        <f>+D450-I450</f>
        <v>1375000</v>
      </c>
      <c r="P450" s="5"/>
      <c r="Q450" s="6" t="str">
        <f t="shared" si="138"/>
        <v>OKE</v>
      </c>
      <c r="R450" s="6"/>
    </row>
    <row r="451" spans="1:40" ht="15" hidden="1" thickBot="1" x14ac:dyDescent="0.25">
      <c r="A451" s="7"/>
      <c r="B451" s="7"/>
      <c r="C451" s="9"/>
      <c r="D451" s="15"/>
      <c r="E451" s="15"/>
      <c r="F451" s="15"/>
      <c r="G451" s="80"/>
      <c r="H451" s="79"/>
      <c r="I451" s="80"/>
      <c r="J451" s="80"/>
      <c r="K451" s="80"/>
      <c r="L451" s="93"/>
      <c r="M451" s="76"/>
      <c r="N451" s="76"/>
      <c r="O451" s="76"/>
      <c r="P451" s="5"/>
      <c r="Q451" s="6" t="str">
        <f t="shared" si="138"/>
        <v>OKE</v>
      </c>
      <c r="R451" s="6"/>
    </row>
    <row r="452" spans="1:40" ht="15" hidden="1" thickBot="1" x14ac:dyDescent="0.25">
      <c r="A452" s="74">
        <v>12</v>
      </c>
      <c r="B452" s="75" t="s">
        <v>71</v>
      </c>
      <c r="C452" s="76" t="s">
        <v>106</v>
      </c>
      <c r="D452" s="15">
        <v>32000000</v>
      </c>
      <c r="E452" s="15"/>
      <c r="F452" s="15"/>
      <c r="G452" s="80">
        <v>32000000</v>
      </c>
      <c r="H452" s="79">
        <v>0</v>
      </c>
      <c r="I452" s="15">
        <f>+G452+H452</f>
        <v>32000000</v>
      </c>
      <c r="J452" s="16">
        <f>+I452/D452</f>
        <v>1</v>
      </c>
      <c r="K452" s="80">
        <v>26758200</v>
      </c>
      <c r="L452" s="80">
        <v>5241800</v>
      </c>
      <c r="M452" s="80">
        <f>+K452+L452</f>
        <v>32000000</v>
      </c>
      <c r="N452" s="16">
        <f>+M452/D452</f>
        <v>1</v>
      </c>
      <c r="O452" s="80">
        <f>+D452-I452</f>
        <v>0</v>
      </c>
      <c r="P452" s="5"/>
      <c r="Q452" s="6" t="str">
        <f t="shared" si="138"/>
        <v>OKE</v>
      </c>
      <c r="R452" s="6"/>
    </row>
    <row r="453" spans="1:40" ht="15" hidden="1" thickBot="1" x14ac:dyDescent="0.25">
      <c r="A453" s="74"/>
      <c r="B453" s="74"/>
      <c r="C453" s="76"/>
      <c r="D453" s="15"/>
      <c r="E453" s="15"/>
      <c r="F453" s="15"/>
      <c r="G453" s="80"/>
      <c r="H453" s="79"/>
      <c r="I453" s="80"/>
      <c r="J453" s="80"/>
      <c r="K453" s="270"/>
      <c r="L453" s="93"/>
      <c r="M453" s="76"/>
      <c r="N453" s="76"/>
      <c r="O453" s="76"/>
      <c r="P453" s="5"/>
      <c r="Q453" s="6" t="str">
        <f t="shared" si="138"/>
        <v>OKE</v>
      </c>
      <c r="R453" s="6"/>
    </row>
    <row r="454" spans="1:40" ht="15" hidden="1" thickBot="1" x14ac:dyDescent="0.25">
      <c r="A454" s="74">
        <v>13</v>
      </c>
      <c r="B454" s="75" t="s">
        <v>107</v>
      </c>
      <c r="C454" s="76" t="s">
        <v>108</v>
      </c>
      <c r="D454" s="15">
        <v>33000000</v>
      </c>
      <c r="E454" s="15"/>
      <c r="F454" s="15"/>
      <c r="G454" s="80">
        <v>31625000</v>
      </c>
      <c r="H454" s="79">
        <v>0</v>
      </c>
      <c r="I454" s="15">
        <f>+G454+H454</f>
        <v>31625000</v>
      </c>
      <c r="J454" s="16">
        <f>+I454/D454</f>
        <v>0.95833333333333337</v>
      </c>
      <c r="K454" s="80">
        <v>31625000</v>
      </c>
      <c r="L454" s="80">
        <v>0</v>
      </c>
      <c r="M454" s="80">
        <f>+K454+L454</f>
        <v>31625000</v>
      </c>
      <c r="N454" s="16">
        <f>+M454/D454</f>
        <v>0.95833333333333337</v>
      </c>
      <c r="O454" s="80">
        <f>+D454-I454</f>
        <v>1375000</v>
      </c>
      <c r="P454" s="5"/>
      <c r="Q454" s="6" t="str">
        <f t="shared" si="138"/>
        <v>OKE</v>
      </c>
      <c r="R454" s="6"/>
    </row>
    <row r="455" spans="1:40" ht="15" hidden="1" thickBot="1" x14ac:dyDescent="0.25">
      <c r="A455" s="74"/>
      <c r="B455" s="74"/>
      <c r="C455" s="76"/>
      <c r="D455" s="15"/>
      <c r="E455" s="15"/>
      <c r="F455" s="15"/>
      <c r="G455" s="80"/>
      <c r="H455" s="79"/>
      <c r="I455" s="80"/>
      <c r="J455" s="80"/>
      <c r="K455" s="80"/>
      <c r="L455" s="76"/>
      <c r="M455" s="76"/>
      <c r="N455" s="76"/>
      <c r="O455" s="76"/>
      <c r="P455" s="5"/>
      <c r="Q455" s="6" t="str">
        <f t="shared" si="138"/>
        <v>OKE</v>
      </c>
      <c r="R455" s="6"/>
    </row>
    <row r="456" spans="1:40" ht="15" hidden="1" thickBot="1" x14ac:dyDescent="0.25">
      <c r="A456" s="85"/>
      <c r="B456" s="85"/>
      <c r="C456" s="34" t="s">
        <v>109</v>
      </c>
      <c r="D456" s="41">
        <f>+D454+D452</f>
        <v>65000000</v>
      </c>
      <c r="E456" s="41"/>
      <c r="F456" s="41"/>
      <c r="G456" s="41">
        <f>+G454+G452</f>
        <v>63625000</v>
      </c>
      <c r="H456" s="42">
        <f>+H454+H452</f>
        <v>0</v>
      </c>
      <c r="I456" s="41">
        <f>+G456+H456</f>
        <v>63625000</v>
      </c>
      <c r="J456" s="43">
        <f>+I456/D456</f>
        <v>0.97884615384615381</v>
      </c>
      <c r="K456" s="41">
        <f>+K454+K452</f>
        <v>58383200</v>
      </c>
      <c r="L456" s="41">
        <f>+L454+L452</f>
        <v>5241800</v>
      </c>
      <c r="M456" s="41">
        <f>+K456+L456</f>
        <v>63625000</v>
      </c>
      <c r="N456" s="43">
        <f>+M456/D456</f>
        <v>0.97884615384615381</v>
      </c>
      <c r="O456" s="41">
        <f>+D456-I456</f>
        <v>1375000</v>
      </c>
      <c r="P456" s="5"/>
      <c r="Q456" s="6" t="str">
        <f t="shared" si="138"/>
        <v>OKE</v>
      </c>
      <c r="R456" s="6"/>
    </row>
    <row r="457" spans="1:40" ht="15" hidden="1" thickBot="1" x14ac:dyDescent="0.25">
      <c r="A457" s="74"/>
      <c r="B457" s="74"/>
      <c r="C457" s="76"/>
      <c r="D457" s="15"/>
      <c r="E457" s="15"/>
      <c r="F457" s="15"/>
      <c r="G457" s="80"/>
      <c r="H457" s="79"/>
      <c r="I457" s="80"/>
      <c r="J457" s="80"/>
      <c r="K457" s="80"/>
      <c r="L457" s="93"/>
      <c r="M457" s="76"/>
      <c r="N457" s="76"/>
      <c r="O457" s="76"/>
      <c r="P457" s="5"/>
      <c r="Q457" s="6" t="str">
        <f t="shared" si="138"/>
        <v>OKE</v>
      </c>
      <c r="R457" s="6"/>
    </row>
    <row r="458" spans="1:40" ht="15" hidden="1" thickBot="1" x14ac:dyDescent="0.25">
      <c r="A458" s="92"/>
      <c r="B458" s="92"/>
      <c r="C458" s="54"/>
      <c r="D458" s="55"/>
      <c r="E458" s="55"/>
      <c r="F458" s="55"/>
      <c r="G458" s="55"/>
      <c r="H458" s="56"/>
      <c r="I458" s="55"/>
      <c r="J458" s="57"/>
      <c r="K458" s="55"/>
      <c r="L458" s="55"/>
      <c r="M458" s="58"/>
      <c r="N458" s="59"/>
      <c r="O458" s="58"/>
      <c r="P458" s="5"/>
      <c r="Q458" s="6" t="str">
        <f t="shared" si="138"/>
        <v>OKE</v>
      </c>
      <c r="R458" s="6"/>
    </row>
    <row r="459" spans="1:40" s="72" customFormat="1" ht="10.5" customHeight="1" x14ac:dyDescent="0.2">
      <c r="A459" s="435"/>
      <c r="B459" s="436"/>
      <c r="C459" s="439" t="s">
        <v>110</v>
      </c>
      <c r="D459" s="429">
        <f t="shared" ref="D459:I459" si="139">+D30+D47+D62+D77+D98+D113+D126+D161+D179+D253</f>
        <v>70780256093</v>
      </c>
      <c r="E459" s="429">
        <f t="shared" si="139"/>
        <v>-36639150</v>
      </c>
      <c r="F459" s="441">
        <f t="shared" si="139"/>
        <v>70743616943</v>
      </c>
      <c r="G459" s="453">
        <f t="shared" si="139"/>
        <v>48083751896</v>
      </c>
      <c r="H459" s="453">
        <f t="shared" si="139"/>
        <v>4034320488</v>
      </c>
      <c r="I459" s="453">
        <f t="shared" si="139"/>
        <v>52118072384</v>
      </c>
      <c r="J459" s="431">
        <f>+I459/F459</f>
        <v>0.73671766635840663</v>
      </c>
      <c r="K459" s="453">
        <f>+K30+K47+K62+K77+K98+K113+K126+K161+K179+K253</f>
        <v>48016854290</v>
      </c>
      <c r="L459" s="453">
        <f>+L30+L47+L62+L77+L98+L113+L126+L161+L179+L253</f>
        <v>3867054938</v>
      </c>
      <c r="M459" s="453">
        <f>+K459+L459</f>
        <v>51883909228</v>
      </c>
      <c r="N459" s="433">
        <f>+M459/F459</f>
        <v>0.73340764114173351</v>
      </c>
      <c r="O459" s="429">
        <f>+F459-M459</f>
        <v>18859707715</v>
      </c>
      <c r="P459" s="5"/>
      <c r="Q459" s="6" t="str">
        <f t="shared" si="138"/>
        <v>OKE</v>
      </c>
      <c r="R459" s="6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</row>
    <row r="460" spans="1:40" s="73" customFormat="1" ht="18" customHeight="1" thickBot="1" x14ac:dyDescent="0.25">
      <c r="A460" s="437"/>
      <c r="B460" s="438"/>
      <c r="C460" s="430"/>
      <c r="D460" s="440"/>
      <c r="E460" s="440"/>
      <c r="F460" s="442"/>
      <c r="G460" s="454"/>
      <c r="H460" s="454"/>
      <c r="I460" s="462"/>
      <c r="J460" s="432"/>
      <c r="K460" s="454"/>
      <c r="L460" s="454"/>
      <c r="M460" s="462"/>
      <c r="N460" s="434"/>
      <c r="O460" s="430"/>
      <c r="P460" s="77"/>
      <c r="Q460" s="6" t="str">
        <f t="shared" si="138"/>
        <v>OKE</v>
      </c>
      <c r="R460" s="6"/>
      <c r="S460" s="306">
        <f>+S473+agt!S475</f>
        <v>4486407047</v>
      </c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</row>
    <row r="461" spans="1:40" ht="5.25" customHeight="1" x14ac:dyDescent="0.2">
      <c r="A461" s="90"/>
      <c r="B461" s="90"/>
      <c r="C461" s="37"/>
      <c r="D461" s="37"/>
      <c r="E461" s="37"/>
      <c r="F461" s="37"/>
      <c r="G461" s="37"/>
      <c r="H461" s="38"/>
      <c r="I461" s="40"/>
      <c r="J461" s="39"/>
      <c r="K461" s="37"/>
      <c r="L461" s="37"/>
      <c r="M461" s="60"/>
      <c r="N461" s="61"/>
      <c r="O461" s="62"/>
      <c r="P461" s="77"/>
    </row>
    <row r="462" spans="1:40" x14ac:dyDescent="0.2">
      <c r="A462" s="77"/>
      <c r="B462" s="77"/>
      <c r="C462" s="77"/>
      <c r="D462" s="31"/>
      <c r="G462" s="88"/>
      <c r="H462" s="63"/>
      <c r="I462" s="26"/>
      <c r="J462" s="26"/>
      <c r="K462" s="88"/>
      <c r="L462" s="77"/>
      <c r="M462" s="77"/>
      <c r="N462" s="77"/>
      <c r="O462" s="77"/>
      <c r="P462" s="64"/>
      <c r="Q462" s="64"/>
      <c r="R462" s="31" t="s">
        <v>148</v>
      </c>
      <c r="S462" s="189">
        <f>24077162+5106434+21862058+689185338</f>
        <v>740230992</v>
      </c>
      <c r="U462" s="309"/>
    </row>
    <row r="463" spans="1:40" hidden="1" x14ac:dyDescent="0.2">
      <c r="A463" s="77"/>
      <c r="B463" s="77"/>
      <c r="C463" s="77"/>
      <c r="G463" s="88"/>
      <c r="H463" s="63"/>
      <c r="I463" s="26"/>
      <c r="J463" s="26"/>
      <c r="K463" s="88"/>
      <c r="L463" s="77"/>
      <c r="M463" s="77"/>
      <c r="N463" s="77"/>
      <c r="O463" s="77"/>
      <c r="P463" s="77"/>
      <c r="Q463" s="77"/>
      <c r="R463" s="77"/>
      <c r="S463" s="189"/>
    </row>
    <row r="464" spans="1:40" hidden="1" x14ac:dyDescent="0.2">
      <c r="A464" s="77"/>
      <c r="B464" s="77"/>
      <c r="C464" s="77"/>
      <c r="G464" s="26"/>
      <c r="H464" s="271"/>
      <c r="I464" s="88"/>
      <c r="J464" s="88"/>
      <c r="K464" s="88"/>
      <c r="L464" s="77"/>
      <c r="M464" s="77"/>
      <c r="N464" s="77"/>
      <c r="O464" s="77"/>
      <c r="P464" s="77"/>
      <c r="Q464" s="77"/>
      <c r="R464" s="77"/>
      <c r="S464" s="189"/>
    </row>
    <row r="465" spans="1:21" x14ac:dyDescent="0.2">
      <c r="A465" s="77"/>
      <c r="B465" s="77"/>
      <c r="C465" s="77"/>
      <c r="D465" s="31"/>
      <c r="G465" s="26"/>
      <c r="H465" s="271"/>
      <c r="I465" s="88"/>
      <c r="J465" s="88"/>
      <c r="K465" s="88"/>
      <c r="L465" s="425" t="s">
        <v>380</v>
      </c>
      <c r="M465" s="426"/>
      <c r="N465" s="426"/>
      <c r="O465" s="426"/>
      <c r="P465" s="77" t="s">
        <v>302</v>
      </c>
      <c r="Q465" s="179">
        <f>4598328+56354856+749681</f>
        <v>61702865</v>
      </c>
      <c r="R465" s="77" t="s">
        <v>269</v>
      </c>
      <c r="S465" s="189">
        <v>72037500</v>
      </c>
      <c r="U465" s="69"/>
    </row>
    <row r="466" spans="1:21" x14ac:dyDescent="0.2">
      <c r="A466" s="77"/>
      <c r="B466" s="77"/>
      <c r="C466" s="77"/>
      <c r="D466" s="31"/>
      <c r="G466" s="88"/>
      <c r="H466" s="271"/>
      <c r="I466" s="88"/>
      <c r="J466" s="88"/>
      <c r="K466" s="88"/>
      <c r="L466" s="425" t="s">
        <v>340</v>
      </c>
      <c r="M466" s="426"/>
      <c r="N466" s="426"/>
      <c r="O466" s="426"/>
      <c r="P466" s="77" t="s">
        <v>268</v>
      </c>
      <c r="Q466" s="179">
        <f>8045700+73484536+2799753</f>
        <v>84329989</v>
      </c>
      <c r="R466" s="77" t="s">
        <v>149</v>
      </c>
      <c r="S466" s="189">
        <f>917907119+17010000</f>
        <v>934917119</v>
      </c>
    </row>
    <row r="467" spans="1:21" hidden="1" x14ac:dyDescent="0.2">
      <c r="A467" s="77"/>
      <c r="B467" s="77"/>
      <c r="C467" s="77"/>
      <c r="G467" s="88"/>
      <c r="H467" s="271"/>
      <c r="I467" s="88"/>
      <c r="J467" s="88"/>
      <c r="K467" s="88"/>
      <c r="L467" s="26"/>
      <c r="M467" s="88"/>
      <c r="N467" s="88"/>
      <c r="O467" s="77"/>
      <c r="P467" s="77"/>
      <c r="Q467" s="179"/>
      <c r="R467" s="77"/>
      <c r="S467" s="77"/>
    </row>
    <row r="468" spans="1:21" hidden="1" x14ac:dyDescent="0.2">
      <c r="A468" s="77"/>
      <c r="B468" s="77"/>
      <c r="C468" s="77"/>
      <c r="G468" s="88"/>
      <c r="H468" s="271"/>
      <c r="I468" s="88"/>
      <c r="J468" s="88"/>
      <c r="K468" s="88"/>
      <c r="L468" s="88"/>
      <c r="M468" s="88"/>
      <c r="N468" s="88"/>
      <c r="O468" s="77"/>
      <c r="P468" s="77"/>
      <c r="Q468" s="179"/>
      <c r="R468" s="77"/>
      <c r="S468" s="77"/>
    </row>
    <row r="469" spans="1:21" hidden="1" x14ac:dyDescent="0.2">
      <c r="A469" s="77"/>
      <c r="B469" s="77"/>
      <c r="C469" s="77"/>
      <c r="G469" s="88"/>
      <c r="H469" s="271"/>
      <c r="I469" s="88"/>
      <c r="J469" s="88"/>
      <c r="K469" s="88"/>
      <c r="L469" s="88"/>
      <c r="M469" s="88"/>
      <c r="N469" s="88"/>
      <c r="O469" s="77"/>
      <c r="P469" s="77"/>
      <c r="Q469" s="179"/>
      <c r="R469" s="77"/>
      <c r="S469" s="77"/>
    </row>
    <row r="470" spans="1:21" hidden="1" x14ac:dyDescent="0.2">
      <c r="A470" s="77"/>
      <c r="B470" s="77"/>
      <c r="C470" s="77"/>
      <c r="G470" s="88"/>
      <c r="H470" s="65"/>
      <c r="I470" s="200"/>
      <c r="J470" s="200"/>
      <c r="K470" s="88"/>
      <c r="L470" s="88"/>
      <c r="M470" s="88"/>
      <c r="N470" s="88"/>
      <c r="O470" s="77"/>
      <c r="P470" s="77"/>
      <c r="Q470" s="179"/>
      <c r="R470" s="77"/>
      <c r="S470" s="77"/>
    </row>
    <row r="471" spans="1:21" ht="12.75" customHeight="1" x14ac:dyDescent="0.2">
      <c r="A471" s="77"/>
      <c r="B471" s="77"/>
      <c r="C471" s="77"/>
      <c r="D471" s="31"/>
      <c r="G471" s="88"/>
      <c r="H471" s="65"/>
      <c r="I471" s="200"/>
      <c r="J471" s="200"/>
      <c r="K471" s="88"/>
      <c r="L471" s="425" t="s">
        <v>146</v>
      </c>
      <c r="M471" s="426"/>
      <c r="N471" s="426"/>
      <c r="O471" s="426"/>
      <c r="P471" s="77" t="s">
        <v>270</v>
      </c>
      <c r="Q471" s="179">
        <v>0</v>
      </c>
      <c r="R471" s="77" t="s">
        <v>271</v>
      </c>
      <c r="S471" s="179">
        <f>+Q475</f>
        <v>2033909027</v>
      </c>
    </row>
    <row r="472" spans="1:21" ht="12.75" customHeight="1" x14ac:dyDescent="0.2">
      <c r="A472" s="77"/>
      <c r="B472" s="77"/>
      <c r="C472" s="77"/>
      <c r="G472" s="88"/>
      <c r="H472" s="65"/>
      <c r="I472" s="200"/>
      <c r="J472" s="200"/>
      <c r="K472" s="88"/>
      <c r="L472" s="425"/>
      <c r="M472" s="426"/>
      <c r="N472" s="426"/>
      <c r="O472" s="426"/>
      <c r="P472" s="77" t="s">
        <v>147</v>
      </c>
      <c r="Q472" s="179">
        <v>0</v>
      </c>
      <c r="R472" s="77"/>
      <c r="S472" s="278"/>
    </row>
    <row r="473" spans="1:21" ht="14.25" customHeight="1" x14ac:dyDescent="0.2">
      <c r="A473" s="77"/>
      <c r="B473" s="77"/>
      <c r="C473" s="77"/>
      <c r="G473" s="88"/>
      <c r="H473" s="65"/>
      <c r="I473" s="200"/>
      <c r="J473" s="200"/>
      <c r="K473" s="88"/>
      <c r="L473" s="88"/>
      <c r="M473" s="88"/>
      <c r="N473" s="88"/>
      <c r="O473" s="77"/>
      <c r="P473" s="77" t="s">
        <v>151</v>
      </c>
      <c r="Q473" s="179">
        <v>0</v>
      </c>
      <c r="R473" s="277" t="s">
        <v>152</v>
      </c>
      <c r="S473" s="279">
        <f>SUM(S462:S471)</f>
        <v>3781094638</v>
      </c>
    </row>
    <row r="474" spans="1:21" ht="14.25" customHeight="1" x14ac:dyDescent="0.2">
      <c r="A474" s="77"/>
      <c r="B474" s="77"/>
      <c r="C474" s="77"/>
      <c r="G474" s="88"/>
      <c r="H474" s="65"/>
      <c r="I474" s="200"/>
      <c r="J474" s="200"/>
      <c r="K474" s="88"/>
      <c r="L474" s="88"/>
      <c r="M474" s="88"/>
      <c r="N474" s="88"/>
      <c r="O474" s="77"/>
      <c r="P474" s="77" t="s">
        <v>274</v>
      </c>
      <c r="Q474" s="179">
        <f>35700000+13933400+13754000+10500000+4000000+15000000+29920000+612940000+57000000+5880000+12775000+14847600+18850000+355000000+47920000+59671008+30480000+25000000+43000000+40000000+25000000+46478000+36796165+107493000+19626000+31000000+6000000+93600000+9500000+18899000+20874000+11739000+9800000+4900000</f>
        <v>1887876173</v>
      </c>
      <c r="R474" s="77"/>
      <c r="S474" s="179"/>
    </row>
    <row r="475" spans="1:21" x14ac:dyDescent="0.2">
      <c r="A475" s="77"/>
      <c r="B475" s="77"/>
      <c r="C475" s="77"/>
      <c r="G475" s="66"/>
      <c r="H475" s="65"/>
      <c r="I475" s="200"/>
      <c r="J475" s="200"/>
      <c r="K475" s="88"/>
      <c r="L475" s="427" t="s">
        <v>343</v>
      </c>
      <c r="M475" s="427"/>
      <c r="N475" s="427"/>
      <c r="O475" s="427"/>
      <c r="P475" s="277" t="s">
        <v>273</v>
      </c>
      <c r="Q475" s="280">
        <f>SUM(Q465:Q474)</f>
        <v>2033909027</v>
      </c>
      <c r="R475" s="192" t="s">
        <v>150</v>
      </c>
      <c r="S475" s="191">
        <f>+L459-S473</f>
        <v>85960300</v>
      </c>
    </row>
    <row r="476" spans="1:21" ht="15" customHeight="1" x14ac:dyDescent="0.2">
      <c r="A476" s="77"/>
      <c r="B476" s="77"/>
      <c r="C476" s="77"/>
      <c r="G476" s="67"/>
      <c r="H476" s="271"/>
      <c r="I476" s="88"/>
      <c r="J476" s="88"/>
      <c r="K476" s="88"/>
      <c r="L476" s="428" t="s">
        <v>342</v>
      </c>
      <c r="M476" s="428"/>
      <c r="N476" s="428"/>
      <c r="O476" s="428"/>
      <c r="P476" s="77"/>
      <c r="Q476" s="77"/>
      <c r="R476" s="192" t="s">
        <v>272</v>
      </c>
      <c r="S476" s="191">
        <f>+S473+S475+1343435000</f>
        <v>5210489938</v>
      </c>
    </row>
    <row r="478" spans="1:21" x14ac:dyDescent="0.2">
      <c r="S478" s="69">
        <v>0</v>
      </c>
    </row>
    <row r="479" spans="1:21" x14ac:dyDescent="0.2">
      <c r="S479" s="319"/>
    </row>
    <row r="480" spans="1:21" x14ac:dyDescent="0.2">
      <c r="S480" s="309">
        <f>705312409-S475</f>
        <v>619352109</v>
      </c>
    </row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</sheetData>
  <mergeCells count="245">
    <mergeCell ref="A459:B460"/>
    <mergeCell ref="C459:C460"/>
    <mergeCell ref="D459:D460"/>
    <mergeCell ref="E459:E460"/>
    <mergeCell ref="F459:F460"/>
    <mergeCell ref="G459:G460"/>
    <mergeCell ref="H459:H460"/>
    <mergeCell ref="L476:O476"/>
    <mergeCell ref="O459:O460"/>
    <mergeCell ref="L465:O465"/>
    <mergeCell ref="L466:O466"/>
    <mergeCell ref="L471:O471"/>
    <mergeCell ref="L472:O472"/>
    <mergeCell ref="L475:O475"/>
    <mergeCell ref="I459:I460"/>
    <mergeCell ref="J459:J460"/>
    <mergeCell ref="K459:K460"/>
    <mergeCell ref="L459:L460"/>
    <mergeCell ref="M459:M460"/>
    <mergeCell ref="N459:N460"/>
    <mergeCell ref="A435:A437"/>
    <mergeCell ref="B435:B437"/>
    <mergeCell ref="C435:C437"/>
    <mergeCell ref="D435:D437"/>
    <mergeCell ref="G435:J435"/>
    <mergeCell ref="K435:N435"/>
    <mergeCell ref="A378:O378"/>
    <mergeCell ref="A379:O379"/>
    <mergeCell ref="A380:O380"/>
    <mergeCell ref="A381:A383"/>
    <mergeCell ref="B381:B383"/>
    <mergeCell ref="C381:C383"/>
    <mergeCell ref="D381:D383"/>
    <mergeCell ref="G381:J381"/>
    <mergeCell ref="K381:N381"/>
    <mergeCell ref="O381:O383"/>
    <mergeCell ref="O435:O437"/>
    <mergeCell ref="G436:J436"/>
    <mergeCell ref="K436:N436"/>
    <mergeCell ref="K354:K355"/>
    <mergeCell ref="L354:L355"/>
    <mergeCell ref="M354:M355"/>
    <mergeCell ref="N354:N355"/>
    <mergeCell ref="O354:O355"/>
    <mergeCell ref="O324:O326"/>
    <mergeCell ref="G325:J325"/>
    <mergeCell ref="K325:N325"/>
    <mergeCell ref="G382:J382"/>
    <mergeCell ref="K382:N382"/>
    <mergeCell ref="A354:A355"/>
    <mergeCell ref="B354:B355"/>
    <mergeCell ref="C354:C355"/>
    <mergeCell ref="D354:D355"/>
    <mergeCell ref="G354:G355"/>
    <mergeCell ref="H354:H355"/>
    <mergeCell ref="I354:I355"/>
    <mergeCell ref="O270:O272"/>
    <mergeCell ref="G271:J271"/>
    <mergeCell ref="K271:N271"/>
    <mergeCell ref="A323:O323"/>
    <mergeCell ref="A324:A326"/>
    <mergeCell ref="B324:B326"/>
    <mergeCell ref="C324:C326"/>
    <mergeCell ref="D324:D326"/>
    <mergeCell ref="G324:J324"/>
    <mergeCell ref="K324:N324"/>
    <mergeCell ref="A270:A272"/>
    <mergeCell ref="B270:B272"/>
    <mergeCell ref="C270:C272"/>
    <mergeCell ref="D270:D272"/>
    <mergeCell ref="G270:J270"/>
    <mergeCell ref="K270:N270"/>
    <mergeCell ref="J354:J355"/>
    <mergeCell ref="M253:M254"/>
    <mergeCell ref="N253:N254"/>
    <mergeCell ref="O253:O254"/>
    <mergeCell ref="A267:O267"/>
    <mergeCell ref="A268:O268"/>
    <mergeCell ref="A269:O269"/>
    <mergeCell ref="G253:G254"/>
    <mergeCell ref="H253:H254"/>
    <mergeCell ref="I253:I254"/>
    <mergeCell ref="J253:J254"/>
    <mergeCell ref="K253:K254"/>
    <mergeCell ref="L253:L254"/>
    <mergeCell ref="C216:C217"/>
    <mergeCell ref="C246:C247"/>
    <mergeCell ref="A253:A254"/>
    <mergeCell ref="B253:B254"/>
    <mergeCell ref="C253:C254"/>
    <mergeCell ref="D253:D254"/>
    <mergeCell ref="E253:E254"/>
    <mergeCell ref="F253:F254"/>
    <mergeCell ref="H179:H180"/>
    <mergeCell ref="O161:O162"/>
    <mergeCell ref="A179:A180"/>
    <mergeCell ref="B179:B180"/>
    <mergeCell ref="C179:C180"/>
    <mergeCell ref="D179:D180"/>
    <mergeCell ref="E179:E180"/>
    <mergeCell ref="F179:F180"/>
    <mergeCell ref="G179:G180"/>
    <mergeCell ref="G161:G162"/>
    <mergeCell ref="H161:H162"/>
    <mergeCell ref="I161:I162"/>
    <mergeCell ref="J161:J162"/>
    <mergeCell ref="K161:K162"/>
    <mergeCell ref="L161:L162"/>
    <mergeCell ref="N179:N180"/>
    <mergeCell ref="O179:O180"/>
    <mergeCell ref="I179:I180"/>
    <mergeCell ref="J179:J180"/>
    <mergeCell ref="K179:K180"/>
    <mergeCell ref="L179:L180"/>
    <mergeCell ref="M179:M180"/>
    <mergeCell ref="M126:M127"/>
    <mergeCell ref="N126:N127"/>
    <mergeCell ref="O126:O127"/>
    <mergeCell ref="C149:C150"/>
    <mergeCell ref="A161:A162"/>
    <mergeCell ref="B161:B162"/>
    <mergeCell ref="C161:C162"/>
    <mergeCell ref="D161:D162"/>
    <mergeCell ref="E161:E162"/>
    <mergeCell ref="F161:F162"/>
    <mergeCell ref="G126:G127"/>
    <mergeCell ref="H126:H127"/>
    <mergeCell ref="I126:I127"/>
    <mergeCell ref="J126:J127"/>
    <mergeCell ref="K126:K127"/>
    <mergeCell ref="L126:L127"/>
    <mergeCell ref="A126:A127"/>
    <mergeCell ref="B126:B127"/>
    <mergeCell ref="C126:C127"/>
    <mergeCell ref="D126:D127"/>
    <mergeCell ref="E126:E127"/>
    <mergeCell ref="F126:F127"/>
    <mergeCell ref="M161:M162"/>
    <mergeCell ref="N161:N162"/>
    <mergeCell ref="J113:J114"/>
    <mergeCell ref="K113:K114"/>
    <mergeCell ref="L113:L114"/>
    <mergeCell ref="M113:M114"/>
    <mergeCell ref="N113:N114"/>
    <mergeCell ref="O113:O114"/>
    <mergeCell ref="O98:O99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I98:I99"/>
    <mergeCell ref="J98:J99"/>
    <mergeCell ref="K98:K99"/>
    <mergeCell ref="L98:L99"/>
    <mergeCell ref="M98:M99"/>
    <mergeCell ref="N98:N99"/>
    <mergeCell ref="N77:N78"/>
    <mergeCell ref="O77:O78"/>
    <mergeCell ref="A98:A99"/>
    <mergeCell ref="B98:B99"/>
    <mergeCell ref="C98:C99"/>
    <mergeCell ref="D98:D99"/>
    <mergeCell ref="E98:E99"/>
    <mergeCell ref="F98:F99"/>
    <mergeCell ref="G98:G99"/>
    <mergeCell ref="H98:H99"/>
    <mergeCell ref="H77:H78"/>
    <mergeCell ref="I77:I78"/>
    <mergeCell ref="J77:J78"/>
    <mergeCell ref="K77:K78"/>
    <mergeCell ref="L77:L78"/>
    <mergeCell ref="M77:M78"/>
    <mergeCell ref="A77:A78"/>
    <mergeCell ref="B77:B78"/>
    <mergeCell ref="C77:C78"/>
    <mergeCell ref="D77:D78"/>
    <mergeCell ref="E77:E78"/>
    <mergeCell ref="F77:F78"/>
    <mergeCell ref="G77:G78"/>
    <mergeCell ref="A62:A63"/>
    <mergeCell ref="B62:B63"/>
    <mergeCell ref="C62:C63"/>
    <mergeCell ref="D62:D63"/>
    <mergeCell ref="E62:E63"/>
    <mergeCell ref="F62:F63"/>
    <mergeCell ref="F47:F48"/>
    <mergeCell ref="G47:G48"/>
    <mergeCell ref="H47:H48"/>
    <mergeCell ref="C43:C44"/>
    <mergeCell ref="A47:A48"/>
    <mergeCell ref="B47:B48"/>
    <mergeCell ref="C47:C48"/>
    <mergeCell ref="D47:D48"/>
    <mergeCell ref="E47:E48"/>
    <mergeCell ref="F30:F31"/>
    <mergeCell ref="G30:G31"/>
    <mergeCell ref="H30:H31"/>
    <mergeCell ref="A30:A31"/>
    <mergeCell ref="B30:B31"/>
    <mergeCell ref="C30:C31"/>
    <mergeCell ref="D30:D31"/>
    <mergeCell ref="E30:E31"/>
    <mergeCell ref="L30:L31"/>
    <mergeCell ref="G62:G63"/>
    <mergeCell ref="H62:H63"/>
    <mergeCell ref="L47:L48"/>
    <mergeCell ref="M30:M31"/>
    <mergeCell ref="N30:N31"/>
    <mergeCell ref="O30:O31"/>
    <mergeCell ref="I30:I31"/>
    <mergeCell ref="J30:J31"/>
    <mergeCell ref="K30:K31"/>
    <mergeCell ref="M47:M48"/>
    <mergeCell ref="N47:N48"/>
    <mergeCell ref="O47:O48"/>
    <mergeCell ref="I47:I48"/>
    <mergeCell ref="J47:J48"/>
    <mergeCell ref="K47:K48"/>
    <mergeCell ref="M62:M63"/>
    <mergeCell ref="N62:N63"/>
    <mergeCell ref="O62:O63"/>
    <mergeCell ref="I62:I63"/>
    <mergeCell ref="J62:J63"/>
    <mergeCell ref="K62:K63"/>
    <mergeCell ref="L62:L63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J5"/>
    <mergeCell ref="K5:N5"/>
    <mergeCell ref="O5:O7"/>
    <mergeCell ref="G6:J6"/>
    <mergeCell ref="K6:N6"/>
  </mergeCells>
  <pageMargins left="0.39370078740157483" right="0.11811023622047245" top="0.51181102362204722" bottom="1.1023622047244095" header="0.31496062992125984" footer="0.82677165354330717"/>
  <pageSetup paperSize="9" scale="70" fitToHeight="0" orientation="landscape" horizontalDpi="4294967295" verticalDpi="4294967295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31"/>
  <sheetViews>
    <sheetView topLeftCell="A7" workbookViewId="0">
      <selection activeCell="L76" sqref="L76"/>
    </sheetView>
  </sheetViews>
  <sheetFormatPr defaultRowHeight="15" x14ac:dyDescent="0.25"/>
  <cols>
    <col min="1" max="1" width="5.28515625" customWidth="1"/>
    <col min="2" max="2" width="35.42578125" customWidth="1"/>
    <col min="3" max="3" width="19.7109375" customWidth="1"/>
    <col min="4" max="4" width="22" hidden="1" customWidth="1"/>
    <col min="5" max="5" width="22.5703125" hidden="1" customWidth="1"/>
    <col min="6" max="6" width="19.28515625" customWidth="1"/>
    <col min="7" max="7" width="14.28515625" customWidth="1"/>
    <col min="8" max="8" width="18.5703125" customWidth="1"/>
    <col min="9" max="9" width="14.28515625" customWidth="1"/>
    <col min="10" max="10" width="19.85546875" customWidth="1"/>
  </cols>
  <sheetData>
    <row r="1" spans="1:10" ht="20.25" customHeight="1" x14ac:dyDescent="0.25">
      <c r="A1" s="445" t="s">
        <v>114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" x14ac:dyDescent="0.25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8" x14ac:dyDescent="0.25">
      <c r="A3" s="445" t="s">
        <v>381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8" customHeight="1" thickBot="1" x14ac:dyDescent="0.3"/>
    <row r="5" spans="1:10" s="97" customFormat="1" ht="22.5" customHeight="1" thickBot="1" x14ac:dyDescent="0.3">
      <c r="A5" s="446" t="s">
        <v>2</v>
      </c>
      <c r="B5" s="446" t="s">
        <v>115</v>
      </c>
      <c r="C5" s="448" t="s">
        <v>129</v>
      </c>
      <c r="D5" s="448" t="s">
        <v>6</v>
      </c>
      <c r="E5" s="448" t="s">
        <v>7</v>
      </c>
      <c r="F5" s="450" t="s">
        <v>116</v>
      </c>
      <c r="G5" s="450"/>
      <c r="H5" s="450"/>
      <c r="I5" s="450"/>
      <c r="J5" s="446" t="s">
        <v>10</v>
      </c>
    </row>
    <row r="6" spans="1:10" s="97" customFormat="1" ht="33" customHeight="1" thickBot="1" x14ac:dyDescent="0.3">
      <c r="A6" s="447"/>
      <c r="B6" s="447"/>
      <c r="C6" s="449"/>
      <c r="D6" s="449"/>
      <c r="E6" s="449"/>
      <c r="F6" s="146" t="s">
        <v>145</v>
      </c>
      <c r="G6" s="160" t="s">
        <v>117</v>
      </c>
      <c r="H6" s="146" t="s">
        <v>118</v>
      </c>
      <c r="I6" s="146" t="s">
        <v>117</v>
      </c>
      <c r="J6" s="447"/>
    </row>
    <row r="7" spans="1:10" s="102" customFormat="1" ht="13.5" customHeight="1" x14ac:dyDescent="0.25">
      <c r="A7" s="98">
        <v>1</v>
      </c>
      <c r="B7" s="99">
        <v>2</v>
      </c>
      <c r="C7" s="99">
        <v>3</v>
      </c>
      <c r="D7" s="99"/>
      <c r="E7" s="99">
        <v>3</v>
      </c>
      <c r="F7" s="100">
        <v>4</v>
      </c>
      <c r="G7" s="99">
        <v>5</v>
      </c>
      <c r="H7" s="100">
        <v>6</v>
      </c>
      <c r="I7" s="99">
        <v>7</v>
      </c>
      <c r="J7" s="101" t="s">
        <v>119</v>
      </c>
    </row>
    <row r="8" spans="1:10" s="110" customFormat="1" ht="20.25" customHeight="1" x14ac:dyDescent="0.25">
      <c r="A8" s="103"/>
      <c r="B8" s="104" t="s">
        <v>120</v>
      </c>
      <c r="C8" s="105">
        <f>SUM(C9:C11)</f>
        <v>19752647100</v>
      </c>
      <c r="D8" s="105">
        <f>SUM(D9:D11)</f>
        <v>0</v>
      </c>
      <c r="E8" s="106">
        <f>D8+C8</f>
        <v>19752647100</v>
      </c>
      <c r="F8" s="106">
        <f>SUM(F9:F11)</f>
        <v>17566539640</v>
      </c>
      <c r="G8" s="107">
        <f>F8/E8</f>
        <v>0.88932584838211381</v>
      </c>
      <c r="H8" s="105">
        <f>SUM(H9:H11)</f>
        <v>17458525840</v>
      </c>
      <c r="I8" s="108">
        <f>H8/E8</f>
        <v>0.88385752813859564</v>
      </c>
      <c r="J8" s="109">
        <f>C8-H8</f>
        <v>2294121260</v>
      </c>
    </row>
    <row r="9" spans="1:10" s="102" customFormat="1" ht="16.5" customHeight="1" x14ac:dyDescent="0.25">
      <c r="A9" s="111" t="s">
        <v>121</v>
      </c>
      <c r="B9" s="112" t="s">
        <v>138</v>
      </c>
      <c r="C9" s="113">
        <f>+jan!D30</f>
        <v>1121402300</v>
      </c>
      <c r="D9" s="113"/>
      <c r="E9" s="114">
        <f>D9+C9</f>
        <v>1121402300</v>
      </c>
      <c r="F9" s="113">
        <f>+sept!I30</f>
        <v>789869390</v>
      </c>
      <c r="G9" s="115">
        <f>F9/E9</f>
        <v>0.7043586320448959</v>
      </c>
      <c r="H9" s="113">
        <f>+sept!M30</f>
        <v>751476190</v>
      </c>
      <c r="I9" s="115">
        <f>H9/E9</f>
        <v>0.67012185546614267</v>
      </c>
      <c r="J9" s="116">
        <f>E9-H9</f>
        <v>369926110</v>
      </c>
    </row>
    <row r="10" spans="1:10" s="102" customFormat="1" ht="16.5" customHeight="1" x14ac:dyDescent="0.25">
      <c r="A10" s="111" t="s">
        <v>122</v>
      </c>
      <c r="B10" s="112" t="s">
        <v>139</v>
      </c>
      <c r="C10" s="113">
        <f>+jan!D62</f>
        <v>17972244800</v>
      </c>
      <c r="D10" s="113"/>
      <c r="E10" s="114">
        <f>D10+C10</f>
        <v>17972244800</v>
      </c>
      <c r="F10" s="113">
        <f>+sept!I62</f>
        <v>16576884750</v>
      </c>
      <c r="G10" s="115">
        <f t="shared" ref="G10:G20" si="0">F10/E10</f>
        <v>0.9223602802249834</v>
      </c>
      <c r="H10" s="113">
        <f>+sept!M62</f>
        <v>16507948950</v>
      </c>
      <c r="I10" s="115">
        <f t="shared" ref="I10:I20" si="1">H10/E10</f>
        <v>0.91852459910850981</v>
      </c>
      <c r="J10" s="116">
        <f t="shared" ref="J10:J20" si="2">E10-H10</f>
        <v>1464295850</v>
      </c>
    </row>
    <row r="11" spans="1:10" s="102" customFormat="1" ht="16.5" customHeight="1" thickBot="1" x14ac:dyDescent="0.3">
      <c r="A11" s="151" t="s">
        <v>123</v>
      </c>
      <c r="B11" s="152" t="s">
        <v>140</v>
      </c>
      <c r="C11" s="153">
        <f>+jan!D47</f>
        <v>659000000</v>
      </c>
      <c r="D11" s="153"/>
      <c r="E11" s="120">
        <f t="shared" ref="E11:E20" si="3">D11+C11</f>
        <v>659000000</v>
      </c>
      <c r="F11" s="153">
        <f>+sept!I47</f>
        <v>199785500</v>
      </c>
      <c r="G11" s="131">
        <f t="shared" si="0"/>
        <v>0.30316464339908955</v>
      </c>
      <c r="H11" s="153">
        <f>+sept!M47</f>
        <v>199100700</v>
      </c>
      <c r="I11" s="131">
        <f t="shared" si="1"/>
        <v>0.30212549317147191</v>
      </c>
      <c r="J11" s="154">
        <f t="shared" si="2"/>
        <v>459899300</v>
      </c>
    </row>
    <row r="12" spans="1:10" s="110" customFormat="1" ht="20.25" customHeight="1" x14ac:dyDescent="0.25">
      <c r="A12" s="155"/>
      <c r="B12" s="156" t="s">
        <v>125</v>
      </c>
      <c r="C12" s="157">
        <f>SUM(C13:C15)</f>
        <v>10666630950</v>
      </c>
      <c r="D12" s="157">
        <f>SUM(D13:D15)</f>
        <v>0</v>
      </c>
      <c r="E12" s="126">
        <f t="shared" si="3"/>
        <v>10666630950</v>
      </c>
      <c r="F12" s="158">
        <f>SUM(F13:F15)</f>
        <v>6635008545</v>
      </c>
      <c r="G12" s="129">
        <f>F12/E12</f>
        <v>0.62203413393617035</v>
      </c>
      <c r="H12" s="157">
        <f>SUM(H13:H15)</f>
        <v>6576560670</v>
      </c>
      <c r="I12" s="129">
        <f>H12/E12</f>
        <v>0.61655462730713484</v>
      </c>
      <c r="J12" s="159">
        <f t="shared" ref="J12:J16" si="4">C12-H12</f>
        <v>4090070280</v>
      </c>
    </row>
    <row r="13" spans="1:10" s="102" customFormat="1" ht="16.5" customHeight="1" x14ac:dyDescent="0.25">
      <c r="A13" s="111" t="s">
        <v>121</v>
      </c>
      <c r="B13" s="112" t="s">
        <v>358</v>
      </c>
      <c r="C13" s="113">
        <f>+peb!F98</f>
        <v>2208185650</v>
      </c>
      <c r="D13" s="113"/>
      <c r="E13" s="114">
        <f t="shared" si="3"/>
        <v>2208185650</v>
      </c>
      <c r="F13" s="113">
        <f>+sept!I98</f>
        <v>1623330500</v>
      </c>
      <c r="G13" s="115">
        <f t="shared" si="0"/>
        <v>0.73514221958647363</v>
      </c>
      <c r="H13" s="113">
        <f>+sept!M98</f>
        <v>1571314349</v>
      </c>
      <c r="I13" s="115">
        <f t="shared" si="1"/>
        <v>0.71158616079223225</v>
      </c>
      <c r="J13" s="116">
        <f t="shared" si="2"/>
        <v>636871301</v>
      </c>
    </row>
    <row r="14" spans="1:10" s="102" customFormat="1" ht="16.5" customHeight="1" x14ac:dyDescent="0.25">
      <c r="A14" s="111" t="s">
        <v>122</v>
      </c>
      <c r="B14" s="112" t="s">
        <v>142</v>
      </c>
      <c r="C14" s="113">
        <f>+jan!D77</f>
        <v>6035935000</v>
      </c>
      <c r="D14" s="113"/>
      <c r="E14" s="114">
        <f t="shared" si="3"/>
        <v>6035935000</v>
      </c>
      <c r="F14" s="113">
        <f>+sept!I77</f>
        <v>3999732750</v>
      </c>
      <c r="G14" s="115">
        <f t="shared" si="0"/>
        <v>0.66265338344432134</v>
      </c>
      <c r="H14" s="113">
        <f>+sept!M77</f>
        <v>3994879706</v>
      </c>
      <c r="I14" s="115">
        <f t="shared" si="1"/>
        <v>0.66184935821873492</v>
      </c>
      <c r="J14" s="116">
        <f t="shared" si="2"/>
        <v>2041055294</v>
      </c>
    </row>
    <row r="15" spans="1:10" s="102" customFormat="1" ht="16.5" customHeight="1" thickBot="1" x14ac:dyDescent="0.3">
      <c r="A15" s="117" t="s">
        <v>123</v>
      </c>
      <c r="B15" s="118" t="s">
        <v>281</v>
      </c>
      <c r="C15" s="119">
        <f>+jan!D113</f>
        <v>2422510300</v>
      </c>
      <c r="D15" s="119"/>
      <c r="E15" s="120">
        <f t="shared" si="3"/>
        <v>2422510300</v>
      </c>
      <c r="F15" s="119">
        <f>+sept!I113</f>
        <v>1011945295</v>
      </c>
      <c r="G15" s="121">
        <f t="shared" si="0"/>
        <v>0.41772589986511099</v>
      </c>
      <c r="H15" s="119">
        <f>+sept!M113</f>
        <v>1010366615</v>
      </c>
      <c r="I15" s="131">
        <f t="shared" si="1"/>
        <v>0.41707422874528127</v>
      </c>
      <c r="J15" s="122">
        <f t="shared" si="2"/>
        <v>1412143685</v>
      </c>
    </row>
    <row r="16" spans="1:10" s="110" customFormat="1" ht="20.25" customHeight="1" x14ac:dyDescent="0.25">
      <c r="A16" s="123"/>
      <c r="B16" s="124" t="s">
        <v>126</v>
      </c>
      <c r="C16" s="125">
        <f>SUM(C17:C20)</f>
        <v>40324338893</v>
      </c>
      <c r="D16" s="125">
        <f>SUM(D17:D20)</f>
        <v>0</v>
      </c>
      <c r="E16" s="126">
        <f t="shared" si="3"/>
        <v>40324338893</v>
      </c>
      <c r="F16" s="127">
        <f>SUM(F17:F20)</f>
        <v>27916524199</v>
      </c>
      <c r="G16" s="128">
        <f>F16/E16</f>
        <v>0.69229961272461427</v>
      </c>
      <c r="H16" s="125">
        <f>SUM(H17:H20)</f>
        <v>27848822718</v>
      </c>
      <c r="I16" s="129">
        <f>H16/E16</f>
        <v>0.69062068920451281</v>
      </c>
      <c r="J16" s="130">
        <f t="shared" si="4"/>
        <v>12475516175</v>
      </c>
    </row>
    <row r="17" spans="1:11" s="102" customFormat="1" ht="16.5" customHeight="1" x14ac:dyDescent="0.25">
      <c r="A17" s="111" t="s">
        <v>121</v>
      </c>
      <c r="B17" s="307" t="s">
        <v>359</v>
      </c>
      <c r="C17" s="133">
        <f>+jan!D126</f>
        <v>1117572900</v>
      </c>
      <c r="D17" s="133">
        <f>[1]Desember!E1056</f>
        <v>0</v>
      </c>
      <c r="E17" s="114">
        <f>D17+C17</f>
        <v>1117572900</v>
      </c>
      <c r="F17" s="133">
        <f>+sept!I126</f>
        <v>708772700</v>
      </c>
      <c r="G17" s="115">
        <f t="shared" si="0"/>
        <v>0.6342071286803751</v>
      </c>
      <c r="H17" s="133">
        <f>+sept!M126</f>
        <v>708681200</v>
      </c>
      <c r="I17" s="115">
        <f t="shared" si="1"/>
        <v>0.63412525482677684</v>
      </c>
      <c r="J17" s="116">
        <f t="shared" si="2"/>
        <v>408891700</v>
      </c>
    </row>
    <row r="18" spans="1:11" s="102" customFormat="1" ht="16.5" customHeight="1" x14ac:dyDescent="0.25">
      <c r="A18" s="111" t="s">
        <v>122</v>
      </c>
      <c r="B18" s="132" t="s">
        <v>143</v>
      </c>
      <c r="C18" s="133">
        <f>+jan!D193</f>
        <v>1189109400</v>
      </c>
      <c r="D18" s="133"/>
      <c r="E18" s="114">
        <f t="shared" ref="E18:E19" si="5">D18+C18</f>
        <v>1189109400</v>
      </c>
      <c r="F18" s="133">
        <f>+sept!I179</f>
        <v>727290670</v>
      </c>
      <c r="G18" s="115">
        <f>F18/E18</f>
        <v>0.61162637348590465</v>
      </c>
      <c r="H18" s="133">
        <f>+sept!M179</f>
        <v>681539170</v>
      </c>
      <c r="I18" s="115">
        <f t="shared" si="1"/>
        <v>0.57315093968645781</v>
      </c>
      <c r="J18" s="116">
        <f t="shared" si="2"/>
        <v>507570230</v>
      </c>
    </row>
    <row r="19" spans="1:11" s="102" customFormat="1" ht="16.5" customHeight="1" x14ac:dyDescent="0.25">
      <c r="A19" s="111" t="s">
        <v>123</v>
      </c>
      <c r="B19" s="132" t="s">
        <v>144</v>
      </c>
      <c r="C19" s="133">
        <f>+'Rekap juli'!C19</f>
        <v>12324425000</v>
      </c>
      <c r="D19" s="133"/>
      <c r="E19" s="114">
        <f t="shared" si="5"/>
        <v>12324425000</v>
      </c>
      <c r="F19" s="133">
        <f>+sept!I253</f>
        <v>8874412492</v>
      </c>
      <c r="G19" s="115">
        <f t="shared" ref="G19" si="6">F19/E19</f>
        <v>0.72006706130306286</v>
      </c>
      <c r="H19" s="133">
        <f>+sept!M253</f>
        <v>8858895711</v>
      </c>
      <c r="I19" s="115">
        <f t="shared" si="1"/>
        <v>0.7188080345330512</v>
      </c>
      <c r="J19" s="116">
        <f t="shared" si="2"/>
        <v>3465529289</v>
      </c>
    </row>
    <row r="20" spans="1:11" s="102" customFormat="1" ht="16.5" customHeight="1" thickBot="1" x14ac:dyDescent="0.3">
      <c r="A20" s="111" t="s">
        <v>124</v>
      </c>
      <c r="B20" s="132" t="s">
        <v>321</v>
      </c>
      <c r="C20" s="133">
        <f>+'Rekap juli'!C20</f>
        <v>25693231593</v>
      </c>
      <c r="D20" s="133"/>
      <c r="E20" s="114">
        <f t="shared" si="3"/>
        <v>25693231593</v>
      </c>
      <c r="F20" s="133">
        <f>+sept!I161</f>
        <v>17606048337</v>
      </c>
      <c r="G20" s="115">
        <f t="shared" si="0"/>
        <v>0.68524071303652923</v>
      </c>
      <c r="H20" s="133">
        <f>+sept!M161</f>
        <v>17599706637</v>
      </c>
      <c r="I20" s="115">
        <f t="shared" si="1"/>
        <v>0.68499388927763205</v>
      </c>
      <c r="J20" s="116">
        <f t="shared" si="2"/>
        <v>8093524956</v>
      </c>
    </row>
    <row r="21" spans="1:11" s="110" customFormat="1" ht="20.25" customHeight="1" thickBot="1" x14ac:dyDescent="0.3">
      <c r="A21" s="161"/>
      <c r="B21" s="162" t="s">
        <v>127</v>
      </c>
      <c r="C21" s="163">
        <f>C16+C12+C8</f>
        <v>70743616943</v>
      </c>
      <c r="D21" s="163">
        <f>D16+D12+D8</f>
        <v>0</v>
      </c>
      <c r="E21" s="164">
        <f>D21+C21</f>
        <v>70743616943</v>
      </c>
      <c r="F21" s="164">
        <f>F16+F12+F8</f>
        <v>52118072384</v>
      </c>
      <c r="G21" s="165">
        <f>F21/E21</f>
        <v>0.73671766635840663</v>
      </c>
      <c r="H21" s="166">
        <f>H16+H12+H8</f>
        <v>51883909228</v>
      </c>
      <c r="I21" s="165">
        <f>H21/E21</f>
        <v>0.73340764114173351</v>
      </c>
      <c r="J21" s="167">
        <f>E21-H21</f>
        <v>18859707715</v>
      </c>
    </row>
    <row r="22" spans="1:11" s="102" customFormat="1" ht="2.25" customHeight="1" thickBot="1" x14ac:dyDescent="0.3">
      <c r="A22" s="134"/>
      <c r="B22" s="135"/>
      <c r="C22" s="135"/>
      <c r="D22" s="135"/>
      <c r="E22" s="135"/>
      <c r="F22" s="135"/>
      <c r="G22" s="135"/>
      <c r="H22" s="136"/>
      <c r="I22" s="136"/>
      <c r="J22" s="136"/>
    </row>
    <row r="23" spans="1:11" ht="24" customHeight="1" x14ac:dyDescent="0.25">
      <c r="H23" s="137"/>
      <c r="I23" s="137"/>
      <c r="J23" s="137"/>
    </row>
    <row r="24" spans="1:11" x14ac:dyDescent="0.25">
      <c r="F24" s="195"/>
      <c r="H24" s="443" t="s">
        <v>382</v>
      </c>
      <c r="I24" s="443"/>
      <c r="J24" s="443"/>
    </row>
    <row r="25" spans="1:11" x14ac:dyDescent="0.25">
      <c r="H25" s="444" t="s">
        <v>341</v>
      </c>
      <c r="I25" s="444"/>
      <c r="J25" s="444"/>
    </row>
    <row r="26" spans="1:11" x14ac:dyDescent="0.25">
      <c r="H26" s="444" t="s">
        <v>128</v>
      </c>
      <c r="I26" s="444"/>
      <c r="J26" s="444"/>
    </row>
    <row r="27" spans="1:11" x14ac:dyDescent="0.25">
      <c r="H27" s="444"/>
      <c r="I27" s="444"/>
      <c r="J27" s="444"/>
    </row>
    <row r="28" spans="1:11" ht="19.5" customHeight="1" x14ac:dyDescent="0.25">
      <c r="H28" s="138"/>
      <c r="I28" s="138"/>
    </row>
    <row r="29" spans="1:11" x14ac:dyDescent="0.25">
      <c r="H29" s="138"/>
      <c r="I29" s="138"/>
    </row>
    <row r="30" spans="1:11" x14ac:dyDescent="0.25">
      <c r="H30" s="466" t="s">
        <v>343</v>
      </c>
      <c r="I30" s="466"/>
      <c r="J30" s="466"/>
      <c r="K30" s="66"/>
    </row>
    <row r="31" spans="1:11" x14ac:dyDescent="0.25">
      <c r="H31" s="465" t="s">
        <v>342</v>
      </c>
      <c r="I31" s="465"/>
      <c r="J31" s="465"/>
      <c r="K31" s="26"/>
    </row>
  </sheetData>
  <mergeCells count="16">
    <mergeCell ref="H31:J31"/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  <mergeCell ref="H24:J24"/>
    <mergeCell ref="H25:J25"/>
    <mergeCell ref="H26:J26"/>
    <mergeCell ref="H27:J27"/>
    <mergeCell ref="H30:J30"/>
  </mergeCells>
  <pageMargins left="1.2598425196850394" right="0" top="0.62992125984251968" bottom="0.59055118110236227" header="0.31496062992125984" footer="0.31496062992125984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E14"/>
  <sheetViews>
    <sheetView topLeftCell="A16" zoomScale="84" zoomScaleNormal="84" workbookViewId="0">
      <selection activeCell="L76" sqref="L76"/>
    </sheetView>
  </sheetViews>
  <sheetFormatPr defaultRowHeight="15" x14ac:dyDescent="0.25"/>
  <cols>
    <col min="2" max="2" width="16.85546875" customWidth="1"/>
    <col min="3" max="3" width="17.42578125" customWidth="1"/>
    <col min="4" max="4" width="15.7109375" customWidth="1"/>
    <col min="5" max="5" width="16.140625" customWidth="1"/>
  </cols>
  <sheetData>
    <row r="3" spans="2:5" x14ac:dyDescent="0.25">
      <c r="B3" t="s">
        <v>115</v>
      </c>
      <c r="C3" t="s">
        <v>5</v>
      </c>
      <c r="D3" t="s">
        <v>285</v>
      </c>
      <c r="E3" t="s">
        <v>12</v>
      </c>
    </row>
    <row r="4" spans="2:5" x14ac:dyDescent="0.25">
      <c r="B4" t="s">
        <v>286</v>
      </c>
      <c r="C4" s="195">
        <f>+'Rekap jan'!C9</f>
        <v>1121402300</v>
      </c>
      <c r="D4" s="195">
        <f>+'Rekap sept'!F9</f>
        <v>789869390</v>
      </c>
      <c r="E4" s="195">
        <f>+'Rekap sept'!H9</f>
        <v>751476190</v>
      </c>
    </row>
    <row r="5" spans="2:5" x14ac:dyDescent="0.25">
      <c r="B5" t="s">
        <v>287</v>
      </c>
      <c r="C5" s="195">
        <f>+'Rekap jan'!C10</f>
        <v>17972244800</v>
      </c>
      <c r="D5" s="195">
        <f>+'Rekap sept'!F10</f>
        <v>16576884750</v>
      </c>
      <c r="E5" s="195">
        <f>+'Rekap sept'!H10</f>
        <v>16507948950</v>
      </c>
    </row>
    <row r="6" spans="2:5" x14ac:dyDescent="0.25">
      <c r="B6" t="s">
        <v>288</v>
      </c>
      <c r="C6" s="195">
        <f>+'Rekap jan'!C11</f>
        <v>659000000</v>
      </c>
      <c r="D6" s="195">
        <f>+'Rekap sept'!F11</f>
        <v>199785500</v>
      </c>
      <c r="E6" s="195">
        <f>+'Rekap sept'!H11</f>
        <v>199100700</v>
      </c>
    </row>
    <row r="7" spans="2:5" x14ac:dyDescent="0.25">
      <c r="B7" s="349" t="s">
        <v>360</v>
      </c>
      <c r="C7" s="195">
        <f>+'Rekap peb'!C13</f>
        <v>2208185650</v>
      </c>
      <c r="D7" s="195">
        <f>+'Rekap sept'!F13</f>
        <v>1623330500</v>
      </c>
      <c r="E7" s="195">
        <f>+'Rekap sept'!H13</f>
        <v>1571314349</v>
      </c>
    </row>
    <row r="8" spans="2:5" x14ac:dyDescent="0.25">
      <c r="B8" t="s">
        <v>284</v>
      </c>
      <c r="C8" s="195">
        <f>+'Rekap jan'!C14</f>
        <v>6035935000</v>
      </c>
      <c r="D8" s="195">
        <f>+'Rekap sept'!F14</f>
        <v>3999732750</v>
      </c>
      <c r="E8" s="195">
        <f>+'Rekap sept'!H14</f>
        <v>3994879706</v>
      </c>
    </row>
    <row r="9" spans="2:5" x14ac:dyDescent="0.25">
      <c r="B9" t="s">
        <v>290</v>
      </c>
      <c r="C9" s="195">
        <f>+'Rekap jan'!C15</f>
        <v>2422510300</v>
      </c>
      <c r="D9" s="195">
        <f>+'Rekap sept'!F15</f>
        <v>1011945295</v>
      </c>
      <c r="E9" s="195">
        <f>+'Rekap sept'!H15</f>
        <v>1010366615</v>
      </c>
    </row>
    <row r="10" spans="2:5" x14ac:dyDescent="0.25">
      <c r="B10" t="s">
        <v>361</v>
      </c>
      <c r="C10" s="195">
        <f>+'Rekap jan'!C17</f>
        <v>1117572900</v>
      </c>
      <c r="D10" s="195">
        <f>+'Rekap sept'!F17</f>
        <v>708772700</v>
      </c>
      <c r="E10" s="195">
        <f>+'Rekap sept'!H15</f>
        <v>1010366615</v>
      </c>
    </row>
    <row r="11" spans="2:5" x14ac:dyDescent="0.25">
      <c r="B11" t="s">
        <v>291</v>
      </c>
      <c r="C11" s="195">
        <f>+'Rekap jan'!C18</f>
        <v>1189109400</v>
      </c>
      <c r="D11" s="195">
        <f>+'Rekap sept'!F18</f>
        <v>727290670</v>
      </c>
      <c r="E11" s="195">
        <f>+'Rekap sept'!H18</f>
        <v>681539170</v>
      </c>
    </row>
    <row r="12" spans="2:5" x14ac:dyDescent="0.25">
      <c r="B12" t="s">
        <v>292</v>
      </c>
      <c r="C12" s="195">
        <f>+'Rekap juli'!C19</f>
        <v>12324425000</v>
      </c>
      <c r="D12" s="195">
        <f>+'Rekap sept'!F19</f>
        <v>8874412492</v>
      </c>
      <c r="E12" s="195">
        <f>+'Rekap sept'!H19</f>
        <v>8858895711</v>
      </c>
    </row>
    <row r="13" spans="2:5" x14ac:dyDescent="0.25">
      <c r="B13" t="s">
        <v>293</v>
      </c>
      <c r="C13" s="195">
        <f>+'Rekap juli'!C20</f>
        <v>25693231593</v>
      </c>
      <c r="D13" s="195">
        <f>+'Rekap sept'!F20</f>
        <v>17606048337</v>
      </c>
      <c r="E13" s="195">
        <f>+'Rekap sept'!H20</f>
        <v>17599706637</v>
      </c>
    </row>
    <row r="14" spans="2:5" x14ac:dyDescent="0.25">
      <c r="C14" s="308">
        <f>SUM(C4:C13)</f>
        <v>70743616943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jan</vt:lpstr>
      <vt:lpstr>Rekap jan</vt:lpstr>
      <vt:lpstr>grafikjan</vt:lpstr>
      <vt:lpstr>peb</vt:lpstr>
      <vt:lpstr>Rekap peb</vt:lpstr>
      <vt:lpstr>grafik peb</vt:lpstr>
      <vt:lpstr>maret</vt:lpstr>
      <vt:lpstr>Rekap maret</vt:lpstr>
      <vt:lpstr>grafik maret</vt:lpstr>
      <vt:lpstr>april</vt:lpstr>
      <vt:lpstr>Rekap april</vt:lpstr>
      <vt:lpstr>grafik april</vt:lpstr>
      <vt:lpstr>mei</vt:lpstr>
      <vt:lpstr>Rekap mei</vt:lpstr>
      <vt:lpstr>grafik mei</vt:lpstr>
      <vt:lpstr>juni</vt:lpstr>
      <vt:lpstr>Rekap juni</vt:lpstr>
      <vt:lpstr>grafik juni</vt:lpstr>
      <vt:lpstr>juli</vt:lpstr>
      <vt:lpstr>Rekap juli</vt:lpstr>
      <vt:lpstr>grafik juli</vt:lpstr>
      <vt:lpstr>agt</vt:lpstr>
      <vt:lpstr>Rekap agt</vt:lpstr>
      <vt:lpstr>grafik agt</vt:lpstr>
      <vt:lpstr>sept</vt:lpstr>
      <vt:lpstr>Rekap sept</vt:lpstr>
      <vt:lpstr>grafik sept</vt:lpstr>
      <vt:lpstr>'grafik maret'!Print_Area</vt:lpstr>
      <vt:lpstr>maret!Print_Area</vt:lpstr>
      <vt:lpstr>'Rekap maret'!Print_Area</vt:lpstr>
      <vt:lpstr>agt!Print_Titles</vt:lpstr>
      <vt:lpstr>april!Print_Titles</vt:lpstr>
      <vt:lpstr>jan!Print_Titles</vt:lpstr>
      <vt:lpstr>juli!Print_Titles</vt:lpstr>
      <vt:lpstr>juni!Print_Titles</vt:lpstr>
      <vt:lpstr>maret!Print_Titles</vt:lpstr>
      <vt:lpstr>mei!Print_Titles</vt:lpstr>
      <vt:lpstr>peb!Print_Titles</vt:lpstr>
      <vt:lpstr>sept!Print_Titles</vt:lpstr>
    </vt:vector>
  </TitlesOfParts>
  <Company>Setda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Keuangan</dc:creator>
  <cp:lastModifiedBy>USER</cp:lastModifiedBy>
  <cp:lastPrinted>2024-08-15T07:30:29Z</cp:lastPrinted>
  <dcterms:created xsi:type="dcterms:W3CDTF">2014-01-27T05:22:55Z</dcterms:created>
  <dcterms:modified xsi:type="dcterms:W3CDTF">2024-10-24T07:39:11Z</dcterms:modified>
</cp:coreProperties>
</file>