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2021\01 CASN\2022\01 DINSOS KAB CILACAP\04 Sekretariat\01 Perencanaan\03 LAPORAN KEUANGAN DINSOS\RKPD\2022\"/>
    </mc:Choice>
  </mc:AlternateContent>
  <xr:revisionPtr revIDLastSave="0" documentId="13_ncr:1_{F70168E0-C7D7-418C-B7BC-46A78C8AF532}" xr6:coauthVersionLast="46" xr6:coauthVersionMax="46" xr10:uidLastSave="{00000000-0000-0000-0000-000000000000}"/>
  <bookViews>
    <workbookView xWindow="-120" yWindow="-120" windowWidth="20730" windowHeight="11040" firstSheet="4" activeTab="4" xr2:uid="{00000000-000D-0000-FFFF-FFFF00000000}"/>
  </bookViews>
  <sheets>
    <sheet name="RKPD 2021" sheetId="1" state="hidden" r:id="rId1"/>
    <sheet name="RIIL TW IV PERBAIKAN" sheetId="4" state="hidden" r:id="rId2"/>
    <sheet name="(Sblm) REVISI RKPD 2021" sheetId="5" state="hidden" r:id="rId3"/>
    <sheet name="TW IV" sheetId="12" state="hidden" r:id="rId4"/>
    <sheet name="TW I" sheetId="14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2">'(Sblm) REVISI RKPD 2021'!$A$1:$AE$103</definedName>
    <definedName name="_xlnm.Print_Area" localSheetId="1">'RIIL TW IV PERBAIKAN'!$B$1:$AE$88</definedName>
    <definedName name="_xlnm.Print_Area" localSheetId="0">'RKPD 2021'!$A$1:$AE$108</definedName>
    <definedName name="_xlnm.Print_Area" localSheetId="4">'TW I'!$A$1:$AF$110</definedName>
    <definedName name="_xlnm.Print_Area" localSheetId="3">'TW IV'!$A$1:$AF$106</definedName>
    <definedName name="_xlnm.Print_Titles" localSheetId="2">'(Sblm) REVISI RKPD 2021'!$4:$8</definedName>
    <definedName name="_xlnm.Print_Titles" localSheetId="1">'RIIL TW IV PERBAIKAN'!$4:$11</definedName>
    <definedName name="_xlnm.Print_Titles" localSheetId="0">'RKPD 2021'!$4:$8</definedName>
    <definedName name="_xlnm.Print_Titles" localSheetId="4">'TW I'!$4:$8</definedName>
    <definedName name="_xlnm.Print_Titles" localSheetId="3">'TW IV'!$4:$8</definedName>
  </definedNames>
  <calcPr calcId="191029"/>
</workbook>
</file>

<file path=xl/calcChain.xml><?xml version="1.0" encoding="utf-8"?>
<calcChain xmlns="http://schemas.openxmlformats.org/spreadsheetml/2006/main">
  <c r="O9" i="14" l="1"/>
  <c r="O10" i="14"/>
  <c r="O14" i="14"/>
  <c r="O15" i="14"/>
  <c r="O17" i="14"/>
  <c r="O18" i="14"/>
  <c r="O22" i="14"/>
  <c r="O23" i="14"/>
  <c r="O29" i="14"/>
  <c r="O32" i="14"/>
  <c r="O33" i="14"/>
  <c r="O37" i="14"/>
  <c r="O41" i="14"/>
  <c r="O42" i="14"/>
  <c r="O43" i="14"/>
  <c r="O44" i="14"/>
  <c r="O61" i="14"/>
  <c r="O62" i="14"/>
  <c r="O63" i="14"/>
  <c r="O72" i="14"/>
  <c r="O79" i="14"/>
  <c r="O80" i="14"/>
  <c r="O84" i="14"/>
  <c r="O85" i="14"/>
  <c r="O89" i="14"/>
  <c r="O90" i="14"/>
  <c r="O60" i="14" l="1"/>
  <c r="O93" i="14" s="1"/>
  <c r="AG64" i="14"/>
  <c r="Q41" i="14" l="1"/>
  <c r="AB20" i="14"/>
  <c r="M63" i="14"/>
  <c r="P44" i="14"/>
  <c r="X44" i="14" s="1"/>
  <c r="M44" i="14"/>
  <c r="X29" i="14"/>
  <c r="AO44" i="14"/>
  <c r="AG44" i="14"/>
  <c r="AN61" i="14" l="1"/>
  <c r="H41" i="14" l="1"/>
  <c r="H62" i="14"/>
  <c r="H61" i="14"/>
  <c r="AA20" i="14" l="1"/>
  <c r="AA47" i="14"/>
  <c r="AA51" i="14"/>
  <c r="AA53" i="14"/>
  <c r="AA67" i="14"/>
  <c r="AA75" i="14"/>
  <c r="Q44" i="14"/>
  <c r="P38" i="14"/>
  <c r="X88" i="14"/>
  <c r="Z88" i="14" s="1"/>
  <c r="Y88" i="14"/>
  <c r="AA88" i="14" s="1"/>
  <c r="Y92" i="14"/>
  <c r="AA92" i="14" s="1"/>
  <c r="X92" i="14"/>
  <c r="Z92" i="14" s="1"/>
  <c r="Q10" i="14"/>
  <c r="Q15" i="14"/>
  <c r="Q14" i="14" s="1"/>
  <c r="Q29" i="14"/>
  <c r="Q23" i="14"/>
  <c r="AN80" i="14"/>
  <c r="Q63" i="14"/>
  <c r="Q80" i="14"/>
  <c r="Q79" i="14" s="1"/>
  <c r="Q90" i="14"/>
  <c r="Q85" i="14"/>
  <c r="Q72" i="14"/>
  <c r="P90" i="14"/>
  <c r="X90" i="14" s="1"/>
  <c r="P91" i="14"/>
  <c r="P81" i="14"/>
  <c r="P39" i="14"/>
  <c r="P40" i="14"/>
  <c r="Q22" i="14" l="1"/>
  <c r="P37" i="14"/>
  <c r="Q9" i="14"/>
  <c r="Q37" i="14"/>
  <c r="Q32" i="14" s="1"/>
  <c r="P71" i="14"/>
  <c r="P70" i="14"/>
  <c r="P66" i="14"/>
  <c r="P63" i="14" l="1"/>
  <c r="Q93" i="14"/>
  <c r="P83" i="14"/>
  <c r="P82" i="14"/>
  <c r="P74" i="14"/>
  <c r="P73" i="14"/>
  <c r="P72" i="14" l="1"/>
  <c r="X62" i="14"/>
  <c r="Q61" i="14"/>
  <c r="Q60" i="14" l="1"/>
  <c r="Y60" i="14" s="1"/>
  <c r="L44" i="14"/>
  <c r="N44" i="14"/>
  <c r="N23" i="14"/>
  <c r="N61" i="14"/>
  <c r="L61" i="14" s="1"/>
  <c r="N62" i="14"/>
  <c r="L62" i="14" s="1"/>
  <c r="K44" i="14"/>
  <c r="N43" i="14"/>
  <c r="N42" i="14"/>
  <c r="L42" i="14" s="1"/>
  <c r="M37" i="14"/>
  <c r="N37" i="14"/>
  <c r="L37" i="14"/>
  <c r="M33" i="14"/>
  <c r="N33" i="14"/>
  <c r="L33" i="14"/>
  <c r="N29" i="14"/>
  <c r="L29" i="14"/>
  <c r="L23" i="14"/>
  <c r="M17" i="14"/>
  <c r="N18" i="14"/>
  <c r="N17" i="14" s="1"/>
  <c r="L18" i="14"/>
  <c r="L17" i="14" s="1"/>
  <c r="M10" i="14"/>
  <c r="K33" i="14"/>
  <c r="L15" i="14"/>
  <c r="L85" i="14"/>
  <c r="L84" i="14" s="1"/>
  <c r="N85" i="14"/>
  <c r="N84" i="14" s="1"/>
  <c r="X34" i="14"/>
  <c r="AB34" i="14" s="1"/>
  <c r="AD34" i="14" s="1"/>
  <c r="Y34" i="14"/>
  <c r="AA34" i="14" s="1"/>
  <c r="J35" i="14"/>
  <c r="X35" i="14"/>
  <c r="Z35" i="14" s="1"/>
  <c r="Y35" i="14"/>
  <c r="AA35" i="14" s="1"/>
  <c r="I36" i="14"/>
  <c r="J36" i="14"/>
  <c r="X36" i="14"/>
  <c r="Y36" i="14"/>
  <c r="AA36" i="14" s="1"/>
  <c r="H32" i="14"/>
  <c r="L32" i="14" l="1"/>
  <c r="AB36" i="14"/>
  <c r="AD36" i="14" s="1"/>
  <c r="L22" i="14"/>
  <c r="AC35" i="14"/>
  <c r="AE35" i="14" s="1"/>
  <c r="N22" i="14"/>
  <c r="AC34" i="14"/>
  <c r="AE34" i="14" s="1"/>
  <c r="N32" i="14"/>
  <c r="N41" i="14"/>
  <c r="L41" i="14"/>
  <c r="AB35" i="14"/>
  <c r="AD35" i="14" s="1"/>
  <c r="AC36" i="14"/>
  <c r="AE36" i="14" s="1"/>
  <c r="Y33" i="14"/>
  <c r="AA33" i="14" s="1"/>
  <c r="X33" i="14"/>
  <c r="Z34" i="14"/>
  <c r="Z33" i="14" s="1"/>
  <c r="Z36" i="14"/>
  <c r="H55" i="14" l="1"/>
  <c r="I55" i="14"/>
  <c r="J55" i="14"/>
  <c r="X55" i="14"/>
  <c r="Z55" i="14" s="1"/>
  <c r="Y55" i="14"/>
  <c r="X57" i="14"/>
  <c r="Z57" i="14" s="1"/>
  <c r="Y57" i="14"/>
  <c r="L14" i="14"/>
  <c r="N11" i="14"/>
  <c r="N12" i="14"/>
  <c r="L90" i="14"/>
  <c r="L89" i="14" s="1"/>
  <c r="N90" i="14"/>
  <c r="N89" i="14" s="1"/>
  <c r="J89" i="14"/>
  <c r="J84" i="14"/>
  <c r="I84" i="14"/>
  <c r="J79" i="14"/>
  <c r="I79" i="14"/>
  <c r="P79" i="14" s="1"/>
  <c r="J62" i="14"/>
  <c r="I62" i="14"/>
  <c r="J61" i="14"/>
  <c r="I61" i="14"/>
  <c r="P61" i="14" s="1"/>
  <c r="X61" i="14" s="1"/>
  <c r="J60" i="14"/>
  <c r="I60" i="14"/>
  <c r="P60" i="14" s="1"/>
  <c r="X60" i="14" s="1"/>
  <c r="AB60" i="14" s="1"/>
  <c r="J43" i="14"/>
  <c r="I43" i="14"/>
  <c r="J42" i="14"/>
  <c r="J41" i="14"/>
  <c r="I41" i="14"/>
  <c r="J32" i="14"/>
  <c r="J22" i="14"/>
  <c r="I22" i="14"/>
  <c r="J17" i="14"/>
  <c r="I17" i="14"/>
  <c r="J9" i="14"/>
  <c r="J14" i="14"/>
  <c r="N10" i="14" l="1"/>
  <c r="N9" i="14" s="1"/>
  <c r="J93" i="14"/>
  <c r="AB55" i="14"/>
  <c r="AD55" i="14" s="1"/>
  <c r="AC55" i="14"/>
  <c r="AE55" i="14" s="1"/>
  <c r="AC57" i="14"/>
  <c r="AE57" i="14" s="1"/>
  <c r="AB57" i="14"/>
  <c r="AD57" i="14" s="1"/>
  <c r="AD42" i="14"/>
  <c r="Y28" i="14" l="1"/>
  <c r="AA28" i="14" s="1"/>
  <c r="Z29" i="14" l="1"/>
  <c r="Y24" i="14"/>
  <c r="AA24" i="14" s="1"/>
  <c r="Y91" i="14"/>
  <c r="X91" i="14"/>
  <c r="J91" i="14"/>
  <c r="I91" i="14"/>
  <c r="AD89" i="14"/>
  <c r="X89" i="14"/>
  <c r="Z89" i="14" s="1"/>
  <c r="Y87" i="14"/>
  <c r="X87" i="14"/>
  <c r="AB87" i="14" s="1"/>
  <c r="AD87" i="14" s="1"/>
  <c r="J87" i="14"/>
  <c r="X86" i="14"/>
  <c r="AB86" i="14" s="1"/>
  <c r="AD86" i="14" s="1"/>
  <c r="Y86" i="14"/>
  <c r="AA86" i="14" s="1"/>
  <c r="J86" i="14"/>
  <c r="K85" i="14"/>
  <c r="X84" i="14"/>
  <c r="Z84" i="14" s="1"/>
  <c r="Y83" i="14"/>
  <c r="AA83" i="14" s="1"/>
  <c r="X83" i="14"/>
  <c r="AB83" i="14" s="1"/>
  <c r="AD83" i="14" s="1"/>
  <c r="Y82" i="14"/>
  <c r="AA82" i="14" s="1"/>
  <c r="X82" i="14"/>
  <c r="Y81" i="14"/>
  <c r="X81" i="14"/>
  <c r="J81" i="14"/>
  <c r="I81" i="14"/>
  <c r="N80" i="14"/>
  <c r="M80" i="14"/>
  <c r="L80" i="14"/>
  <c r="K80" i="14"/>
  <c r="X79" i="14"/>
  <c r="AB79" i="14" s="1"/>
  <c r="AD79" i="14" s="1"/>
  <c r="Y79" i="14"/>
  <c r="N79" i="14"/>
  <c r="L79" i="14"/>
  <c r="Y78" i="14"/>
  <c r="X78" i="14"/>
  <c r="AB78" i="14" s="1"/>
  <c r="AD78" i="14" s="1"/>
  <c r="AB77" i="14"/>
  <c r="AD77" i="14" s="1"/>
  <c r="Z77" i="14"/>
  <c r="Y77" i="14"/>
  <c r="AC77" i="14" s="1"/>
  <c r="AE77" i="14" s="1"/>
  <c r="AE76" i="14"/>
  <c r="X76" i="14"/>
  <c r="J76" i="14"/>
  <c r="I76" i="14"/>
  <c r="AC75" i="14"/>
  <c r="X74" i="14"/>
  <c r="AB74" i="14" s="1"/>
  <c r="AD74" i="14" s="1"/>
  <c r="Y74" i="14"/>
  <c r="AA74" i="14" s="1"/>
  <c r="X73" i="14"/>
  <c r="Z73" i="14" s="1"/>
  <c r="Y73" i="14"/>
  <c r="J73" i="14"/>
  <c r="I73" i="14"/>
  <c r="N72" i="14"/>
  <c r="M72" i="14"/>
  <c r="L72" i="14"/>
  <c r="K72" i="14"/>
  <c r="Y71" i="14"/>
  <c r="X71" i="14"/>
  <c r="Y70" i="14"/>
  <c r="X70" i="14"/>
  <c r="AB70" i="14" s="1"/>
  <c r="AD70" i="14" s="1"/>
  <c r="Y69" i="14"/>
  <c r="AC69" i="14" s="1"/>
  <c r="AE69" i="14" s="1"/>
  <c r="X69" i="14"/>
  <c r="AB69" i="14" s="1"/>
  <c r="AD69" i="14" s="1"/>
  <c r="Y68" i="14"/>
  <c r="AA68" i="14" s="1"/>
  <c r="X68" i="14"/>
  <c r="AB68" i="14" s="1"/>
  <c r="AD68" i="14" s="1"/>
  <c r="J68" i="14"/>
  <c r="Y66" i="14"/>
  <c r="AA66" i="14" s="1"/>
  <c r="J66" i="14"/>
  <c r="I66" i="14"/>
  <c r="Y65" i="14"/>
  <c r="X65" i="14"/>
  <c r="AB65" i="14" s="1"/>
  <c r="AD65" i="14" s="1"/>
  <c r="N63" i="14"/>
  <c r="Y64" i="14"/>
  <c r="X64" i="14"/>
  <c r="Z64" i="14" s="1"/>
  <c r="J64" i="14"/>
  <c r="I64" i="14"/>
  <c r="L63" i="14"/>
  <c r="K63" i="14"/>
  <c r="Y62" i="14"/>
  <c r="Z62" i="14"/>
  <c r="AB61" i="14"/>
  <c r="AD61" i="14" s="1"/>
  <c r="AD60" i="14"/>
  <c r="Z60" i="14"/>
  <c r="Y59" i="14"/>
  <c r="AA59" i="14" s="1"/>
  <c r="X59" i="14"/>
  <c r="Z59" i="14" s="1"/>
  <c r="J59" i="14"/>
  <c r="I59" i="14"/>
  <c r="Y58" i="14"/>
  <c r="AC58" i="14" s="1"/>
  <c r="AE58" i="14" s="1"/>
  <c r="X58" i="14"/>
  <c r="AB58" i="14" s="1"/>
  <c r="AD58" i="14" s="1"/>
  <c r="Y56" i="14"/>
  <c r="X56" i="14"/>
  <c r="Z56" i="14" s="1"/>
  <c r="J56" i="14"/>
  <c r="I56" i="14"/>
  <c r="Y54" i="14"/>
  <c r="X54" i="14"/>
  <c r="Z54" i="14" s="1"/>
  <c r="J54" i="14"/>
  <c r="I54" i="14"/>
  <c r="X52" i="14"/>
  <c r="Z52" i="14" s="1"/>
  <c r="J52" i="14"/>
  <c r="I52" i="14"/>
  <c r="Y50" i="14"/>
  <c r="AA50" i="14" s="1"/>
  <c r="X50" i="14"/>
  <c r="Z50" i="14" s="1"/>
  <c r="J50" i="14"/>
  <c r="I50" i="14"/>
  <c r="Y49" i="14"/>
  <c r="X49" i="14"/>
  <c r="Z49" i="14" s="1"/>
  <c r="J49" i="14"/>
  <c r="I49" i="14"/>
  <c r="X48" i="14"/>
  <c r="J48" i="14"/>
  <c r="I48" i="14"/>
  <c r="Z46" i="14"/>
  <c r="J46" i="14"/>
  <c r="I46" i="14"/>
  <c r="AB46" i="14" s="1"/>
  <c r="AD46" i="14" s="1"/>
  <c r="Y45" i="14"/>
  <c r="AA45" i="14" s="1"/>
  <c r="X45" i="14"/>
  <c r="AB45" i="14" s="1"/>
  <c r="AD45" i="14" s="1"/>
  <c r="J45" i="14"/>
  <c r="X43" i="14"/>
  <c r="AB43" i="14" s="1"/>
  <c r="AD43" i="14" s="1"/>
  <c r="Y42" i="14"/>
  <c r="AA42" i="14" s="1"/>
  <c r="X42" i="14"/>
  <c r="X41" i="14"/>
  <c r="AD41" i="14" s="1"/>
  <c r="Y40" i="14"/>
  <c r="AA40" i="14" s="1"/>
  <c r="X40" i="14"/>
  <c r="AB40" i="14" s="1"/>
  <c r="AD40" i="14" s="1"/>
  <c r="J40" i="14"/>
  <c r="AO39" i="14"/>
  <c r="Y39" i="14"/>
  <c r="AA39" i="14" s="1"/>
  <c r="X39" i="14"/>
  <c r="Z39" i="14" s="1"/>
  <c r="J39" i="14"/>
  <c r="AO38" i="14"/>
  <c r="X38" i="14"/>
  <c r="AB38" i="14" s="1"/>
  <c r="AD38" i="14" s="1"/>
  <c r="J38" i="14"/>
  <c r="K37" i="14"/>
  <c r="K32" i="14" s="1"/>
  <c r="X32" i="14"/>
  <c r="Z32" i="14" s="1"/>
  <c r="X31" i="14"/>
  <c r="Z31" i="14" s="1"/>
  <c r="J31" i="14"/>
  <c r="X30" i="14"/>
  <c r="Z30" i="14" s="1"/>
  <c r="J30" i="14"/>
  <c r="X28" i="14"/>
  <c r="J28" i="14"/>
  <c r="I28" i="14"/>
  <c r="Y27" i="14"/>
  <c r="AA27" i="14" s="1"/>
  <c r="X27" i="14"/>
  <c r="Z27" i="14" s="1"/>
  <c r="J27" i="14"/>
  <c r="I27" i="14"/>
  <c r="X26" i="14"/>
  <c r="Z26" i="14" s="1"/>
  <c r="J26" i="14"/>
  <c r="I26" i="14"/>
  <c r="Y25" i="14"/>
  <c r="AA25" i="14" s="1"/>
  <c r="X25" i="14"/>
  <c r="Z25" i="14" s="1"/>
  <c r="J25" i="14"/>
  <c r="I25" i="14"/>
  <c r="X24" i="14"/>
  <c r="Z24" i="14" s="1"/>
  <c r="J24" i="14"/>
  <c r="I24" i="14"/>
  <c r="X23" i="14"/>
  <c r="Z23" i="14" s="1"/>
  <c r="AJ22" i="14"/>
  <c r="AD22" i="14"/>
  <c r="X22" i="14"/>
  <c r="H22" i="14"/>
  <c r="Y21" i="14"/>
  <c r="AA21" i="14" s="1"/>
  <c r="X21" i="14"/>
  <c r="Z21" i="14" s="1"/>
  <c r="J21" i="14"/>
  <c r="I21" i="14"/>
  <c r="Y19" i="14"/>
  <c r="AA19" i="14" s="1"/>
  <c r="X19" i="14"/>
  <c r="Z19" i="14" s="1"/>
  <c r="J19" i="14"/>
  <c r="I19" i="14"/>
  <c r="K18" i="14"/>
  <c r="K17" i="14" s="1"/>
  <c r="Y17" i="14"/>
  <c r="AA17" i="14" s="1"/>
  <c r="X17" i="14"/>
  <c r="AB17" i="14" s="1"/>
  <c r="H17" i="14"/>
  <c r="X16" i="14"/>
  <c r="X15" i="14" s="1"/>
  <c r="N15" i="14"/>
  <c r="N14" i="14" s="1"/>
  <c r="M15" i="14"/>
  <c r="X14" i="14"/>
  <c r="Z14" i="14" s="1"/>
  <c r="Y13" i="14"/>
  <c r="AA13" i="14" s="1"/>
  <c r="X13" i="14"/>
  <c r="Y11" i="14"/>
  <c r="AA11" i="14" s="1"/>
  <c r="X11" i="14"/>
  <c r="J11" i="14"/>
  <c r="I11" i="14"/>
  <c r="H11" i="14"/>
  <c r="H9" i="14" s="1"/>
  <c r="L10" i="14"/>
  <c r="L9" i="14" s="1"/>
  <c r="K10" i="14"/>
  <c r="X9" i="14"/>
  <c r="AL7" i="14"/>
  <c r="AB19" i="14" l="1"/>
  <c r="AB21" i="14"/>
  <c r="N60" i="14"/>
  <c r="AA60" i="14" s="1"/>
  <c r="AC65" i="14"/>
  <c r="AE65" i="14" s="1"/>
  <c r="AA65" i="14"/>
  <c r="AA73" i="14"/>
  <c r="H93" i="14"/>
  <c r="AC62" i="14"/>
  <c r="AE62" i="14" s="1"/>
  <c r="AA62" i="14"/>
  <c r="AA64" i="14"/>
  <c r="Y63" i="14"/>
  <c r="AA63" i="14" s="1"/>
  <c r="AC78" i="14"/>
  <c r="AE78" i="14" s="1"/>
  <c r="AA78" i="14"/>
  <c r="AA79" i="14"/>
  <c r="AA87" i="14"/>
  <c r="Y85" i="14"/>
  <c r="AA85" i="14" s="1"/>
  <c r="Y90" i="14"/>
  <c r="AA90" i="14" s="1"/>
  <c r="AA91" i="14"/>
  <c r="AC70" i="14"/>
  <c r="AE70" i="14" s="1"/>
  <c r="AA70" i="14"/>
  <c r="AA81" i="14"/>
  <c r="Y80" i="14"/>
  <c r="AA80" i="14" s="1"/>
  <c r="N93" i="14"/>
  <c r="L60" i="14"/>
  <c r="L93" i="14" s="1"/>
  <c r="AB48" i="14"/>
  <c r="AD48" i="14" s="1"/>
  <c r="AC49" i="14"/>
  <c r="AE49" i="14" s="1"/>
  <c r="AC27" i="14"/>
  <c r="AE27" i="14" s="1"/>
  <c r="X10" i="14"/>
  <c r="AC19" i="14"/>
  <c r="AE19" i="14" s="1"/>
  <c r="AC21" i="14"/>
  <c r="AE21" i="14" s="1"/>
  <c r="AB28" i="14"/>
  <c r="AD28" i="14" s="1"/>
  <c r="AC59" i="14"/>
  <c r="AE59" i="14" s="1"/>
  <c r="AC64" i="14"/>
  <c r="AE64" i="14" s="1"/>
  <c r="AC87" i="14"/>
  <c r="AE87" i="14" s="1"/>
  <c r="Z17" i="14"/>
  <c r="Z28" i="14"/>
  <c r="X37" i="14"/>
  <c r="AB37" i="14" s="1"/>
  <c r="AC56" i="14"/>
  <c r="AE56" i="14" s="1"/>
  <c r="AC81" i="14"/>
  <c r="AE81" i="14" s="1"/>
  <c r="AC91" i="14"/>
  <c r="AE91" i="14" s="1"/>
  <c r="AC68" i="14"/>
  <c r="AE68" i="14" s="1"/>
  <c r="AB11" i="14"/>
  <c r="AD11" i="14" s="1"/>
  <c r="AC11" i="14"/>
  <c r="AE11" i="14" s="1"/>
  <c r="AC17" i="14"/>
  <c r="AE17" i="14" s="1"/>
  <c r="AC25" i="14"/>
  <c r="AE25" i="14" s="1"/>
  <c r="AC39" i="14"/>
  <c r="AE39" i="14" s="1"/>
  <c r="AC66" i="14"/>
  <c r="AE66" i="14" s="1"/>
  <c r="AB76" i="14"/>
  <c r="AD76" i="14" s="1"/>
  <c r="Z48" i="14"/>
  <c r="AB13" i="14"/>
  <c r="AD13" i="14" s="1"/>
  <c r="AB56" i="14"/>
  <c r="AD56" i="14" s="1"/>
  <c r="AD19" i="14"/>
  <c r="Z43" i="14"/>
  <c r="AB52" i="14"/>
  <c r="AD52" i="14" s="1"/>
  <c r="Z65" i="14"/>
  <c r="Z13" i="14"/>
  <c r="AB27" i="14"/>
  <c r="AD27" i="14" s="1"/>
  <c r="AC54" i="14"/>
  <c r="AE54" i="14" s="1"/>
  <c r="AB59" i="14"/>
  <c r="AD59" i="14" s="1"/>
  <c r="AB64" i="14"/>
  <c r="AD64" i="14" s="1"/>
  <c r="AB73" i="14"/>
  <c r="AD73" i="14" s="1"/>
  <c r="Z83" i="14"/>
  <c r="Y89" i="14"/>
  <c r="AA89" i="14" s="1"/>
  <c r="Z16" i="14"/>
  <c r="Z15" i="14" s="1"/>
  <c r="AB24" i="14"/>
  <c r="AD24" i="14" s="1"/>
  <c r="AD32" i="14"/>
  <c r="Z41" i="14"/>
  <c r="AB50" i="14"/>
  <c r="AD50" i="14" s="1"/>
  <c r="AB54" i="14"/>
  <c r="AD54" i="14" s="1"/>
  <c r="Z76" i="14"/>
  <c r="Z79" i="14"/>
  <c r="Z61" i="14"/>
  <c r="X72" i="14"/>
  <c r="Z72" i="14" s="1"/>
  <c r="Y61" i="14"/>
  <c r="Y43" i="14"/>
  <c r="AA43" i="14" s="1"/>
  <c r="AD21" i="14"/>
  <c r="X18" i="14"/>
  <c r="AB18" i="14" s="1"/>
  <c r="Z18" i="14"/>
  <c r="AD9" i="14"/>
  <c r="Z9" i="14"/>
  <c r="Y10" i="14"/>
  <c r="Y26" i="14"/>
  <c r="AA26" i="14" s="1"/>
  <c r="AB30" i="14"/>
  <c r="AD30" i="14" s="1"/>
  <c r="AB31" i="14"/>
  <c r="AD31" i="14" s="1"/>
  <c r="Y9" i="14"/>
  <c r="AA9" i="14" s="1"/>
  <c r="Z11" i="14"/>
  <c r="AC13" i="14"/>
  <c r="AE13" i="14" s="1"/>
  <c r="AD16" i="14"/>
  <c r="Y18" i="14"/>
  <c r="AA18" i="14" s="1"/>
  <c r="AC24" i="14"/>
  <c r="AE24" i="14" s="1"/>
  <c r="Y30" i="14"/>
  <c r="AA30" i="14" s="1"/>
  <c r="Y31" i="14"/>
  <c r="AA31" i="14" s="1"/>
  <c r="AD17" i="14"/>
  <c r="Y16" i="14"/>
  <c r="AA16" i="14" s="1"/>
  <c r="AB25" i="14"/>
  <c r="AD25" i="14" s="1"/>
  <c r="Y38" i="14"/>
  <c r="AA38" i="14" s="1"/>
  <c r="AC40" i="14"/>
  <c r="AE40" i="14" s="1"/>
  <c r="AC42" i="14"/>
  <c r="AE42" i="14" s="1"/>
  <c r="AC45" i="14"/>
  <c r="AE45" i="14" s="1"/>
  <c r="AB49" i="14"/>
  <c r="AD49" i="14" s="1"/>
  <c r="Y52" i="14"/>
  <c r="AA52" i="14" s="1"/>
  <c r="AB62" i="14"/>
  <c r="AD62" i="14" s="1"/>
  <c r="Z70" i="14"/>
  <c r="Z71" i="14"/>
  <c r="AB71" i="14"/>
  <c r="AD71" i="14" s="1"/>
  <c r="AC79" i="14"/>
  <c r="AE79" i="14" s="1"/>
  <c r="Z81" i="14"/>
  <c r="X80" i="14"/>
  <c r="Z80" i="14" s="1"/>
  <c r="AD84" i="14"/>
  <c r="Z38" i="14"/>
  <c r="AB39" i="14"/>
  <c r="Z40" i="14"/>
  <c r="Z45" i="14"/>
  <c r="AC73" i="14"/>
  <c r="AE73" i="14" s="1"/>
  <c r="AC86" i="14"/>
  <c r="AE86" i="14" s="1"/>
  <c r="AB26" i="14"/>
  <c r="AD26" i="14" s="1"/>
  <c r="Y32" i="14"/>
  <c r="AA32" i="14" s="1"/>
  <c r="Z44" i="14"/>
  <c r="Y48" i="14"/>
  <c r="AA48" i="14" s="1"/>
  <c r="AC50" i="14"/>
  <c r="AE50" i="14" s="1"/>
  <c r="X66" i="14"/>
  <c r="Z66" i="14" s="1"/>
  <c r="AC74" i="14"/>
  <c r="AE74" i="14" s="1"/>
  <c r="AB81" i="14"/>
  <c r="AD81" i="14" s="1"/>
  <c r="Z82" i="14"/>
  <c r="AB82" i="14"/>
  <c r="AD82" i="14" s="1"/>
  <c r="Z91" i="14"/>
  <c r="AB91" i="14"/>
  <c r="AD91" i="14" s="1"/>
  <c r="Z90" i="14"/>
  <c r="Z58" i="14"/>
  <c r="Z68" i="14"/>
  <c r="Z78" i="14"/>
  <c r="Y84" i="14"/>
  <c r="AA84" i="14" s="1"/>
  <c r="X85" i="14"/>
  <c r="Z85" i="14" s="1"/>
  <c r="Z87" i="14"/>
  <c r="Z69" i="14"/>
  <c r="AC71" i="14"/>
  <c r="AE71" i="14" s="1"/>
  <c r="Z74" i="14"/>
  <c r="AC82" i="14"/>
  <c r="AE82" i="14" s="1"/>
  <c r="AC83" i="14"/>
  <c r="AE83" i="14" s="1"/>
  <c r="Z86" i="14"/>
  <c r="AC61" i="14" l="1"/>
  <c r="AE61" i="14" s="1"/>
  <c r="AA61" i="14"/>
  <c r="AA10" i="14"/>
  <c r="AC43" i="14"/>
  <c r="AE43" i="14" s="1"/>
  <c r="AC89" i="14"/>
  <c r="AE89" i="14" s="1"/>
  <c r="Z37" i="14"/>
  <c r="Z10" i="14"/>
  <c r="AC32" i="14"/>
  <c r="AE32" i="14" s="1"/>
  <c r="AC84" i="14"/>
  <c r="AE84" i="14" s="1"/>
  <c r="Y41" i="14"/>
  <c r="AA41" i="14" s="1"/>
  <c r="AC31" i="14"/>
  <c r="AE31" i="14" s="1"/>
  <c r="X63" i="14"/>
  <c r="Z63" i="14" s="1"/>
  <c r="AC38" i="14"/>
  <c r="AE38" i="14" s="1"/>
  <c r="Y37" i="14"/>
  <c r="AA37" i="14" s="1"/>
  <c r="AC16" i="14"/>
  <c r="AE16" i="14" s="1"/>
  <c r="Y15" i="14"/>
  <c r="AA15" i="14" s="1"/>
  <c r="AC30" i="14"/>
  <c r="AE30" i="14" s="1"/>
  <c r="Y29" i="14"/>
  <c r="AA29" i="14" s="1"/>
  <c r="Y46" i="14"/>
  <c r="AC52" i="14"/>
  <c r="AE52" i="14" s="1"/>
  <c r="AC9" i="14"/>
  <c r="AC48" i="14"/>
  <c r="AE48" i="14" s="1"/>
  <c r="Y76" i="14"/>
  <c r="AB66" i="14"/>
  <c r="AD66" i="14" s="1"/>
  <c r="AC28" i="14"/>
  <c r="AE28" i="14" s="1"/>
  <c r="Y22" i="14"/>
  <c r="AA22" i="14" s="1"/>
  <c r="Y23" i="14"/>
  <c r="AA23" i="14" s="1"/>
  <c r="AC26" i="14"/>
  <c r="AE26" i="14" s="1"/>
  <c r="AA76" i="14" l="1"/>
  <c r="Y72" i="14"/>
  <c r="AA72" i="14" s="1"/>
  <c r="Y44" i="14"/>
  <c r="AA44" i="14" s="1"/>
  <c r="AA46" i="14"/>
  <c r="Y14" i="14"/>
  <c r="AA14" i="14" s="1"/>
  <c r="AC60" i="14"/>
  <c r="AE60" i="14" s="1"/>
  <c r="AC22" i="14"/>
  <c r="AE22" i="14" s="1"/>
  <c r="AE9" i="14"/>
  <c r="AC46" i="14"/>
  <c r="AE46" i="14" s="1"/>
  <c r="AC41" i="14"/>
  <c r="AE41" i="14" s="1"/>
  <c r="Y93" i="14" l="1"/>
  <c r="AC14" i="14"/>
  <c r="Y94" i="14" l="1"/>
  <c r="AC93" i="14"/>
  <c r="AA93" i="14"/>
  <c r="O77" i="12"/>
  <c r="V9" i="12"/>
  <c r="W9" i="12"/>
  <c r="V10" i="12"/>
  <c r="W10" i="12"/>
  <c r="V13" i="12"/>
  <c r="W13" i="12"/>
  <c r="V14" i="12"/>
  <c r="W14" i="12"/>
  <c r="V17" i="12"/>
  <c r="W17" i="12"/>
  <c r="V21" i="12"/>
  <c r="W21" i="12"/>
  <c r="V22" i="12"/>
  <c r="W22" i="12"/>
  <c r="V28" i="12"/>
  <c r="W28" i="12"/>
  <c r="V32" i="12"/>
  <c r="W32" i="12"/>
  <c r="L36" i="12"/>
  <c r="M36" i="12"/>
  <c r="N36" i="12"/>
  <c r="O36" i="12"/>
  <c r="P36" i="12"/>
  <c r="Q36" i="12"/>
  <c r="R36" i="12"/>
  <c r="T36" i="12"/>
  <c r="V36" i="12"/>
  <c r="V31" i="12" s="1"/>
  <c r="W36" i="12"/>
  <c r="W31" i="12" s="1"/>
  <c r="K36" i="12"/>
  <c r="V40" i="12"/>
  <c r="W40" i="12"/>
  <c r="V41" i="12"/>
  <c r="W41" i="12"/>
  <c r="V42" i="12"/>
  <c r="W42" i="12"/>
  <c r="V43" i="12"/>
  <c r="W43" i="12"/>
  <c r="V45" i="12"/>
  <c r="W45" i="12"/>
  <c r="V63" i="12"/>
  <c r="W63" i="12"/>
  <c r="V62" i="12"/>
  <c r="W62" i="12"/>
  <c r="V65" i="12"/>
  <c r="W65" i="12"/>
  <c r="V92" i="12"/>
  <c r="W92" i="12"/>
  <c r="V97" i="12"/>
  <c r="W97" i="12"/>
  <c r="V98" i="12"/>
  <c r="W98" i="12"/>
  <c r="W102" i="12"/>
  <c r="W101" i="12"/>
  <c r="V103" i="12" l="1"/>
  <c r="V102" i="12" s="1"/>
  <c r="T103" i="12"/>
  <c r="P103" i="12"/>
  <c r="Y113" i="12" l="1"/>
  <c r="Y114" i="12" s="1"/>
  <c r="O109" i="12"/>
  <c r="W104" i="12"/>
  <c r="Q104" i="12"/>
  <c r="Y103" i="12"/>
  <c r="X103" i="12"/>
  <c r="Z103" i="12" s="1"/>
  <c r="J103" i="12"/>
  <c r="I103" i="12"/>
  <c r="I101" i="12" s="1"/>
  <c r="U102" i="12"/>
  <c r="T102" i="12"/>
  <c r="S102" i="12"/>
  <c r="R102" i="12"/>
  <c r="Q102" i="12"/>
  <c r="P102" i="12"/>
  <c r="O102" i="12"/>
  <c r="N102" i="12"/>
  <c r="M102" i="12"/>
  <c r="L102" i="12"/>
  <c r="K102" i="12"/>
  <c r="Y101" i="12"/>
  <c r="AC101" i="12" s="1"/>
  <c r="AE101" i="12" s="1"/>
  <c r="X101" i="12"/>
  <c r="Z101" i="12" s="1"/>
  <c r="U101" i="12"/>
  <c r="S101" i="12"/>
  <c r="O101" i="12"/>
  <c r="N101" i="12"/>
  <c r="X100" i="12"/>
  <c r="AB100" i="12" s="1"/>
  <c r="AD100" i="12" s="1"/>
  <c r="U100" i="12"/>
  <c r="Y100" i="12" s="1"/>
  <c r="J100" i="12"/>
  <c r="X99" i="12"/>
  <c r="Z99" i="12" s="1"/>
  <c r="S99" i="12"/>
  <c r="Y99" i="12" s="1"/>
  <c r="J99" i="12"/>
  <c r="U98" i="12"/>
  <c r="T98" i="12"/>
  <c r="S98" i="12"/>
  <c r="R98" i="12"/>
  <c r="Q98" i="12"/>
  <c r="P98" i="12"/>
  <c r="O98" i="12"/>
  <c r="N98" i="12"/>
  <c r="M98" i="12"/>
  <c r="L98" i="12"/>
  <c r="K98" i="12"/>
  <c r="U97" i="12"/>
  <c r="S97" i="12"/>
  <c r="R97" i="12"/>
  <c r="X97" i="12" s="1"/>
  <c r="Z97" i="12" s="1"/>
  <c r="Q97" i="12"/>
  <c r="O97" i="12"/>
  <c r="N97" i="12"/>
  <c r="L97" i="12"/>
  <c r="I97" i="12"/>
  <c r="H97" i="12"/>
  <c r="AA96" i="12"/>
  <c r="Y96" i="12"/>
  <c r="AC96" i="12" s="1"/>
  <c r="AE96" i="12" s="1"/>
  <c r="X96" i="12"/>
  <c r="AB96" i="12" s="1"/>
  <c r="AD96" i="12" s="1"/>
  <c r="Y95" i="12"/>
  <c r="AC95" i="12" s="1"/>
  <c r="AE95" i="12" s="1"/>
  <c r="T95" i="12"/>
  <c r="X95" i="12" s="1"/>
  <c r="Y94" i="12"/>
  <c r="T94" i="12"/>
  <c r="R94" i="12"/>
  <c r="R93" i="12" s="1"/>
  <c r="P94" i="12"/>
  <c r="P93" i="12" s="1"/>
  <c r="J94" i="12"/>
  <c r="J92" i="12" s="1"/>
  <c r="I94" i="12"/>
  <c r="W93" i="12"/>
  <c r="V93" i="12"/>
  <c r="U93" i="12"/>
  <c r="S93" i="12"/>
  <c r="Q93" i="12"/>
  <c r="O93" i="12"/>
  <c r="N93" i="12"/>
  <c r="M93" i="12"/>
  <c r="L93" i="12"/>
  <c r="K93" i="12"/>
  <c r="X92" i="12"/>
  <c r="AB92" i="12" s="1"/>
  <c r="AD92" i="12" s="1"/>
  <c r="U92" i="12"/>
  <c r="S92" i="12"/>
  <c r="Q92" i="12"/>
  <c r="O92" i="12"/>
  <c r="N92" i="12"/>
  <c r="L92" i="12"/>
  <c r="H92" i="12"/>
  <c r="Y91" i="12"/>
  <c r="AA91" i="12" s="1"/>
  <c r="X91" i="12"/>
  <c r="AB91" i="12" s="1"/>
  <c r="AD91" i="12" s="1"/>
  <c r="J91" i="12"/>
  <c r="Y90" i="12"/>
  <c r="AC90" i="12" s="1"/>
  <c r="AE90" i="12" s="1"/>
  <c r="X90" i="12"/>
  <c r="AB90" i="12" s="1"/>
  <c r="AD90" i="12" s="1"/>
  <c r="AB89" i="12"/>
  <c r="AD89" i="12" s="1"/>
  <c r="Z89" i="12"/>
  <c r="Y89" i="12"/>
  <c r="AC89" i="12" s="1"/>
  <c r="AE89" i="12" s="1"/>
  <c r="N89" i="12"/>
  <c r="Y88" i="12"/>
  <c r="AC88" i="12" s="1"/>
  <c r="AE88" i="12" s="1"/>
  <c r="X88" i="12"/>
  <c r="AB88" i="12" s="1"/>
  <c r="AD88" i="12" s="1"/>
  <c r="N88" i="12"/>
  <c r="AA88" i="12" s="1"/>
  <c r="Y87" i="12"/>
  <c r="AC87" i="12" s="1"/>
  <c r="AE87" i="12" s="1"/>
  <c r="X87" i="12"/>
  <c r="Z87" i="12" s="1"/>
  <c r="N87" i="12"/>
  <c r="Y86" i="12"/>
  <c r="X86" i="12"/>
  <c r="Z86" i="12" s="1"/>
  <c r="N86" i="12"/>
  <c r="J86" i="12"/>
  <c r="I86" i="12"/>
  <c r="Y84" i="12"/>
  <c r="X84" i="12"/>
  <c r="Z84" i="12" s="1"/>
  <c r="N84" i="12"/>
  <c r="N64" i="12" s="1"/>
  <c r="J84" i="12"/>
  <c r="J64" i="12" s="1"/>
  <c r="I84" i="12"/>
  <c r="Y82" i="12"/>
  <c r="X82" i="12"/>
  <c r="Z82" i="12" s="1"/>
  <c r="N82" i="12"/>
  <c r="J82" i="12"/>
  <c r="I82" i="12"/>
  <c r="X81" i="12"/>
  <c r="Z81" i="12" s="1"/>
  <c r="S81" i="12"/>
  <c r="N81" i="12"/>
  <c r="J81" i="12"/>
  <c r="I81" i="12"/>
  <c r="AC80" i="12"/>
  <c r="Y79" i="12"/>
  <c r="AC79" i="12" s="1"/>
  <c r="AE79" i="12" s="1"/>
  <c r="T79" i="12"/>
  <c r="X79" i="12" s="1"/>
  <c r="Z79" i="12" s="1"/>
  <c r="T78" i="12"/>
  <c r="X78" i="12" s="1"/>
  <c r="S78" i="12"/>
  <c r="S62" i="12" s="1"/>
  <c r="J78" i="12"/>
  <c r="I78" i="12"/>
  <c r="AB78" i="12" s="1"/>
  <c r="AD78" i="12" s="1"/>
  <c r="W77" i="12"/>
  <c r="V77" i="12"/>
  <c r="R77" i="12"/>
  <c r="Q77" i="12"/>
  <c r="P77" i="12"/>
  <c r="M77" i="12"/>
  <c r="L77" i="12"/>
  <c r="K77" i="12"/>
  <c r="Y76" i="12"/>
  <c r="AC76" i="12" s="1"/>
  <c r="AE76" i="12" s="1"/>
  <c r="T76" i="12"/>
  <c r="R76" i="12"/>
  <c r="N76" i="12"/>
  <c r="AA76" i="12" s="1"/>
  <c r="X75" i="12"/>
  <c r="AB75" i="12" s="1"/>
  <c r="AD75" i="12" s="1"/>
  <c r="U75" i="12"/>
  <c r="Y75" i="12" s="1"/>
  <c r="N75" i="12"/>
  <c r="Y74" i="12"/>
  <c r="AC74" i="12" s="1"/>
  <c r="AE74" i="12" s="1"/>
  <c r="X74" i="12"/>
  <c r="AB74" i="12" s="1"/>
  <c r="AD74" i="12" s="1"/>
  <c r="N74" i="12"/>
  <c r="Y73" i="12"/>
  <c r="X73" i="12"/>
  <c r="Z73" i="12" s="1"/>
  <c r="N73" i="12"/>
  <c r="J73" i="12"/>
  <c r="Y71" i="12"/>
  <c r="AA71" i="12" s="1"/>
  <c r="T71" i="12"/>
  <c r="R71" i="12"/>
  <c r="J71" i="12"/>
  <c r="I71" i="12"/>
  <c r="Y70" i="12"/>
  <c r="AC70" i="12" s="1"/>
  <c r="AE70" i="12" s="1"/>
  <c r="X70" i="12"/>
  <c r="AB70" i="12" s="1"/>
  <c r="AD70" i="12" s="1"/>
  <c r="Y69" i="12"/>
  <c r="AC69" i="12" s="1"/>
  <c r="AE69" i="12" s="1"/>
  <c r="X69" i="12"/>
  <c r="AB69" i="12" s="1"/>
  <c r="AD69" i="12" s="1"/>
  <c r="Y68" i="12"/>
  <c r="X68" i="12"/>
  <c r="Z68" i="12" s="1"/>
  <c r="N68" i="12"/>
  <c r="J68" i="12"/>
  <c r="I68" i="12"/>
  <c r="AE67" i="12"/>
  <c r="AD67" i="12"/>
  <c r="Y66" i="12"/>
  <c r="X66" i="12"/>
  <c r="Z66" i="12" s="1"/>
  <c r="O66" i="12"/>
  <c r="O65" i="12" s="1"/>
  <c r="N66" i="12"/>
  <c r="J66" i="12"/>
  <c r="I66" i="12"/>
  <c r="AB66" i="12" s="1"/>
  <c r="AD66" i="12" s="1"/>
  <c r="S65" i="12"/>
  <c r="Q65" i="12"/>
  <c r="P65" i="12"/>
  <c r="M65" i="12"/>
  <c r="L65" i="12"/>
  <c r="K65" i="12"/>
  <c r="Y64" i="12"/>
  <c r="X64" i="12"/>
  <c r="AB64" i="12" s="1"/>
  <c r="AD64" i="12" s="1"/>
  <c r="O64" i="12"/>
  <c r="L64" i="12"/>
  <c r="H64" i="12"/>
  <c r="X63" i="12"/>
  <c r="AB63" i="12" s="1"/>
  <c r="AD63" i="12" s="1"/>
  <c r="U63" i="12"/>
  <c r="S63" i="12"/>
  <c r="Q63" i="12"/>
  <c r="O63" i="12"/>
  <c r="L63" i="12"/>
  <c r="H63" i="12"/>
  <c r="AB62" i="12"/>
  <c r="AD62" i="12" s="1"/>
  <c r="X62" i="12"/>
  <c r="Z62" i="12" s="1"/>
  <c r="L62" i="12"/>
  <c r="H62" i="12"/>
  <c r="Y61" i="12"/>
  <c r="AA61" i="12" s="1"/>
  <c r="X61" i="12"/>
  <c r="Z61" i="12" s="1"/>
  <c r="J61" i="12"/>
  <c r="I61" i="12"/>
  <c r="Y60" i="12"/>
  <c r="X60" i="12"/>
  <c r="AB60" i="12" s="1"/>
  <c r="AD60" i="12" s="1"/>
  <c r="O60" i="12"/>
  <c r="N60" i="12"/>
  <c r="Y59" i="12"/>
  <c r="AC59" i="12" s="1"/>
  <c r="AE59" i="12" s="1"/>
  <c r="X59" i="12"/>
  <c r="Z59" i="12" s="1"/>
  <c r="O59" i="12"/>
  <c r="N59" i="12"/>
  <c r="Y58" i="12"/>
  <c r="AA58" i="12" s="1"/>
  <c r="X58" i="12"/>
  <c r="Z58" i="12" s="1"/>
  <c r="Y57" i="12"/>
  <c r="X57" i="12"/>
  <c r="Z57" i="12" s="1"/>
  <c r="O57" i="12"/>
  <c r="N57" i="12"/>
  <c r="J57" i="12"/>
  <c r="I57" i="12"/>
  <c r="AB57" i="12" s="1"/>
  <c r="AD57" i="12" s="1"/>
  <c r="Y56" i="12"/>
  <c r="X56" i="12"/>
  <c r="Z56" i="12" s="1"/>
  <c r="N56" i="12"/>
  <c r="J56" i="12"/>
  <c r="I56" i="12"/>
  <c r="H56" i="12"/>
  <c r="Y55" i="12"/>
  <c r="X55" i="12"/>
  <c r="Z55" i="12" s="1"/>
  <c r="N55" i="12"/>
  <c r="J55" i="12"/>
  <c r="I55" i="12"/>
  <c r="X53" i="12"/>
  <c r="Z53" i="12" s="1"/>
  <c r="S53" i="12"/>
  <c r="U53" i="12" s="1"/>
  <c r="Y53" i="12" s="1"/>
  <c r="O53" i="12"/>
  <c r="O41" i="12" s="1"/>
  <c r="N53" i="12"/>
  <c r="N41" i="12" s="1"/>
  <c r="J53" i="12"/>
  <c r="J41" i="12" s="1"/>
  <c r="I53" i="12"/>
  <c r="Y51" i="12"/>
  <c r="X51" i="12"/>
  <c r="Z51" i="12" s="1"/>
  <c r="N51" i="12"/>
  <c r="J51" i="12"/>
  <c r="I51" i="12"/>
  <c r="Y50" i="12"/>
  <c r="X50" i="12"/>
  <c r="Z50" i="12" s="1"/>
  <c r="N50" i="12"/>
  <c r="J50" i="12"/>
  <c r="I50" i="12"/>
  <c r="X49" i="12"/>
  <c r="Z49" i="12" s="1"/>
  <c r="S49" i="12"/>
  <c r="U49" i="12" s="1"/>
  <c r="Y49" i="12" s="1"/>
  <c r="O49" i="12"/>
  <c r="N49" i="12"/>
  <c r="N40" i="12" s="1"/>
  <c r="J49" i="12"/>
  <c r="I49" i="12"/>
  <c r="Z47" i="12"/>
  <c r="S47" i="12"/>
  <c r="S40" i="12" s="1"/>
  <c r="J47" i="12"/>
  <c r="I47" i="12"/>
  <c r="AB47" i="12" s="1"/>
  <c r="AD47" i="12" s="1"/>
  <c r="Y46" i="12"/>
  <c r="X46" i="12"/>
  <c r="Z46" i="12" s="1"/>
  <c r="J46" i="12"/>
  <c r="T45" i="12"/>
  <c r="R45" i="12"/>
  <c r="Q45" i="12"/>
  <c r="P45" i="12"/>
  <c r="M45" i="12"/>
  <c r="L45" i="12"/>
  <c r="K45" i="12"/>
  <c r="Y44" i="12"/>
  <c r="X44" i="12"/>
  <c r="Z44" i="12" s="1"/>
  <c r="Z43" i="12" s="1"/>
  <c r="J44" i="12"/>
  <c r="U43" i="12"/>
  <c r="T43" i="12"/>
  <c r="S43" i="12"/>
  <c r="R43" i="12"/>
  <c r="Q43" i="12"/>
  <c r="P43" i="12"/>
  <c r="O43" i="12"/>
  <c r="N43" i="12"/>
  <c r="M43" i="12"/>
  <c r="L43" i="12"/>
  <c r="K43" i="12"/>
  <c r="X42" i="12"/>
  <c r="Z42" i="12" s="1"/>
  <c r="S42" i="12"/>
  <c r="Q42" i="12"/>
  <c r="O42" i="12"/>
  <c r="L42" i="12"/>
  <c r="X41" i="12"/>
  <c r="AB41" i="12" s="1"/>
  <c r="AD41" i="12" s="1"/>
  <c r="Q41" i="12"/>
  <c r="L41" i="12"/>
  <c r="X40" i="12"/>
  <c r="Z40" i="12" s="1"/>
  <c r="Q40" i="12"/>
  <c r="L40" i="12"/>
  <c r="Z39" i="12"/>
  <c r="X39" i="12"/>
  <c r="AB39" i="12" s="1"/>
  <c r="AD39" i="12" s="1"/>
  <c r="U39" i="12"/>
  <c r="Y39" i="12" s="1"/>
  <c r="AC39" i="12" s="1"/>
  <c r="AE39" i="12" s="1"/>
  <c r="J39" i="12"/>
  <c r="AO38" i="12"/>
  <c r="Y38" i="12"/>
  <c r="AA38" i="12" s="1"/>
  <c r="X38" i="12"/>
  <c r="Z38" i="12" s="1"/>
  <c r="J38" i="12"/>
  <c r="AO37" i="12"/>
  <c r="X37" i="12"/>
  <c r="S37" i="12"/>
  <c r="S36" i="12" s="1"/>
  <c r="S31" i="12" s="1"/>
  <c r="J37" i="12"/>
  <c r="Y35" i="12"/>
  <c r="X35" i="12"/>
  <c r="Z35" i="12" s="1"/>
  <c r="J35" i="12"/>
  <c r="I35" i="12"/>
  <c r="Y34" i="12"/>
  <c r="AA34" i="12" s="1"/>
  <c r="X34" i="12"/>
  <c r="Z34" i="12" s="1"/>
  <c r="J34" i="12"/>
  <c r="Y33" i="12"/>
  <c r="AA33" i="12" s="1"/>
  <c r="X33" i="12"/>
  <c r="AB33" i="12" s="1"/>
  <c r="AD33" i="12" s="1"/>
  <c r="U32" i="12"/>
  <c r="T32" i="12"/>
  <c r="S32" i="12"/>
  <c r="R32" i="12"/>
  <c r="Q32" i="12"/>
  <c r="P32" i="12"/>
  <c r="O32" i="12"/>
  <c r="N32" i="12"/>
  <c r="M32" i="12"/>
  <c r="L32" i="12"/>
  <c r="X31" i="12"/>
  <c r="Z31" i="12" s="1"/>
  <c r="Q31" i="12"/>
  <c r="O31" i="12"/>
  <c r="N31" i="12"/>
  <c r="L31" i="12"/>
  <c r="H31" i="12"/>
  <c r="X30" i="12"/>
  <c r="Z30" i="12" s="1"/>
  <c r="S30" i="12"/>
  <c r="U30" i="12" s="1"/>
  <c r="Y30" i="12" s="1"/>
  <c r="J30" i="12"/>
  <c r="X29" i="12"/>
  <c r="AB29" i="12" s="1"/>
  <c r="AD29" i="12" s="1"/>
  <c r="S29" i="12"/>
  <c r="J29" i="12"/>
  <c r="Q28" i="12"/>
  <c r="O28" i="12"/>
  <c r="N28" i="12"/>
  <c r="L28" i="12"/>
  <c r="X27" i="12"/>
  <c r="Z27" i="12" s="1"/>
  <c r="S27" i="12"/>
  <c r="U27" i="12" s="1"/>
  <c r="Y27" i="12" s="1"/>
  <c r="O27" i="12"/>
  <c r="J27" i="12"/>
  <c r="I27" i="12"/>
  <c r="X26" i="12"/>
  <c r="S26" i="12"/>
  <c r="J26" i="12"/>
  <c r="I26" i="12"/>
  <c r="X25" i="12"/>
  <c r="Z25" i="12" s="1"/>
  <c r="S25" i="12"/>
  <c r="J25" i="12"/>
  <c r="I25" i="12"/>
  <c r="I31" i="12" s="1"/>
  <c r="AB31" i="12" s="1"/>
  <c r="AD31" i="12" s="1"/>
  <c r="Y24" i="12"/>
  <c r="X24" i="12"/>
  <c r="Z24" i="12" s="1"/>
  <c r="J24" i="12"/>
  <c r="I24" i="12"/>
  <c r="X23" i="12"/>
  <c r="Z23" i="12" s="1"/>
  <c r="S23" i="12"/>
  <c r="J23" i="12"/>
  <c r="I23" i="12"/>
  <c r="I21" i="12" s="1"/>
  <c r="Z22" i="12"/>
  <c r="Q22" i="12"/>
  <c r="N22" i="12"/>
  <c r="L22" i="12"/>
  <c r="AJ21" i="12"/>
  <c r="X21" i="12"/>
  <c r="Q21" i="12"/>
  <c r="N21" i="12"/>
  <c r="L21" i="12"/>
  <c r="H21" i="12"/>
  <c r="Y20" i="12"/>
  <c r="AA20" i="12" s="1"/>
  <c r="X20" i="12"/>
  <c r="Z20" i="12" s="1"/>
  <c r="J20" i="12"/>
  <c r="I20" i="12"/>
  <c r="I16" i="12" s="1"/>
  <c r="Y18" i="12"/>
  <c r="AA18" i="12" s="1"/>
  <c r="X18" i="12"/>
  <c r="X17" i="12" s="1"/>
  <c r="O18" i="12"/>
  <c r="O16" i="12" s="1"/>
  <c r="J18" i="12"/>
  <c r="I18" i="12"/>
  <c r="U17" i="12"/>
  <c r="T17" i="12"/>
  <c r="S17" i="12"/>
  <c r="R17" i="12"/>
  <c r="Q17" i="12"/>
  <c r="P17" i="12"/>
  <c r="N17" i="12"/>
  <c r="M17" i="12"/>
  <c r="L17" i="12"/>
  <c r="K17" i="12"/>
  <c r="T16" i="12"/>
  <c r="Q16" i="12"/>
  <c r="Y16" i="12" s="1"/>
  <c r="P16" i="12"/>
  <c r="N16" i="12"/>
  <c r="L16" i="12"/>
  <c r="H16" i="12"/>
  <c r="X15" i="12"/>
  <c r="Z15" i="12" s="1"/>
  <c r="Z14" i="12" s="1"/>
  <c r="S15" i="12"/>
  <c r="U15" i="12" s="1"/>
  <c r="T14" i="12"/>
  <c r="R14" i="12"/>
  <c r="Q14" i="12"/>
  <c r="P14" i="12"/>
  <c r="O14" i="12"/>
  <c r="N14" i="12"/>
  <c r="M14" i="12"/>
  <c r="X13" i="12"/>
  <c r="AB13" i="12" s="1"/>
  <c r="AD13" i="12" s="1"/>
  <c r="Q13" i="12"/>
  <c r="O13" i="12"/>
  <c r="N13" i="12"/>
  <c r="X12" i="12"/>
  <c r="Z12" i="12" s="1"/>
  <c r="S12" i="12"/>
  <c r="Y12" i="12" s="1"/>
  <c r="Y11" i="12"/>
  <c r="X11" i="12"/>
  <c r="J11" i="12"/>
  <c r="J9" i="12" s="1"/>
  <c r="I11" i="12"/>
  <c r="H11" i="12"/>
  <c r="H9" i="12" s="1"/>
  <c r="U10" i="12"/>
  <c r="T10" i="12"/>
  <c r="R10" i="12"/>
  <c r="Q10" i="12"/>
  <c r="P10" i="12"/>
  <c r="O10" i="12"/>
  <c r="N10" i="12"/>
  <c r="M10" i="12"/>
  <c r="L10" i="12"/>
  <c r="K10" i="12"/>
  <c r="U9" i="12"/>
  <c r="Q9" i="12"/>
  <c r="P9" i="12"/>
  <c r="X9" i="12" s="1"/>
  <c r="O9" i="12"/>
  <c r="N9" i="12"/>
  <c r="L9" i="12"/>
  <c r="I9" i="12"/>
  <c r="AL7" i="12"/>
  <c r="U65" i="12" l="1"/>
  <c r="Q108" i="12"/>
  <c r="X16" i="12"/>
  <c r="Z16" i="12" s="1"/>
  <c r="AA50" i="12"/>
  <c r="Y97" i="12"/>
  <c r="AC99" i="12"/>
  <c r="AE99" i="12" s="1"/>
  <c r="J62" i="12"/>
  <c r="J63" i="12"/>
  <c r="AB53" i="12"/>
  <c r="AD53" i="12" s="1"/>
  <c r="AA90" i="12"/>
  <c r="AB16" i="12"/>
  <c r="AD16" i="12" s="1"/>
  <c r="Y17" i="12"/>
  <c r="AC58" i="12"/>
  <c r="AE58" i="12" s="1"/>
  <c r="AA60" i="12"/>
  <c r="AA75" i="12"/>
  <c r="J21" i="12"/>
  <c r="AA55" i="12"/>
  <c r="AC57" i="12"/>
  <c r="AE57" i="12" s="1"/>
  <c r="AC66" i="12"/>
  <c r="AE66" i="12" s="1"/>
  <c r="AA86" i="12"/>
  <c r="AA97" i="12"/>
  <c r="AB11" i="12"/>
  <c r="AD11" i="12" s="1"/>
  <c r="AA17" i="12"/>
  <c r="Z29" i="12"/>
  <c r="S41" i="12"/>
  <c r="AB51" i="12"/>
  <c r="AD51" i="12" s="1"/>
  <c r="O62" i="12"/>
  <c r="N63" i="12"/>
  <c r="AC68" i="12"/>
  <c r="AE68" i="12" s="1"/>
  <c r="T65" i="12"/>
  <c r="AC73" i="12"/>
  <c r="AE73" i="12" s="1"/>
  <c r="AC84" i="12"/>
  <c r="AE84" i="12" s="1"/>
  <c r="Y92" i="12"/>
  <c r="AA92" i="12" s="1"/>
  <c r="Z92" i="12"/>
  <c r="AC94" i="12"/>
  <c r="AE94" i="12" s="1"/>
  <c r="J97" i="12"/>
  <c r="AC97" i="12" s="1"/>
  <c r="AE97" i="12" s="1"/>
  <c r="AB9" i="12"/>
  <c r="AD9" i="12" s="1"/>
  <c r="AB21" i="12"/>
  <c r="AD21" i="12" s="1"/>
  <c r="U13" i="12"/>
  <c r="U14" i="12"/>
  <c r="N45" i="12"/>
  <c r="S13" i="12"/>
  <c r="S14" i="12"/>
  <c r="AA16" i="12"/>
  <c r="O17" i="12"/>
  <c r="AC35" i="12"/>
  <c r="AE35" i="12" s="1"/>
  <c r="U37" i="12"/>
  <c r="U36" i="12" s="1"/>
  <c r="U31" i="12" s="1"/>
  <c r="Y31" i="12" s="1"/>
  <c r="AA31" i="12" s="1"/>
  <c r="AC44" i="12"/>
  <c r="AE44" i="12" s="1"/>
  <c r="O45" i="12"/>
  <c r="S45" i="12"/>
  <c r="AC46" i="12"/>
  <c r="AE46" i="12" s="1"/>
  <c r="O40" i="12"/>
  <c r="AC50" i="12"/>
  <c r="AE50" i="12" s="1"/>
  <c r="AA56" i="12"/>
  <c r="AB61" i="12"/>
  <c r="AD61" i="12" s="1"/>
  <c r="N62" i="12"/>
  <c r="N108" i="12" s="1"/>
  <c r="N111" i="12" s="1"/>
  <c r="AC64" i="12"/>
  <c r="AE64" i="12" s="1"/>
  <c r="AA66" i="12"/>
  <c r="Z69" i="12"/>
  <c r="Z70" i="12"/>
  <c r="X71" i="12"/>
  <c r="Z71" i="12" s="1"/>
  <c r="N65" i="12"/>
  <c r="X76" i="12"/>
  <c r="X65" i="12" s="1"/>
  <c r="Z65" i="12" s="1"/>
  <c r="AB82" i="12"/>
  <c r="AD82" i="12" s="1"/>
  <c r="AC82" i="12"/>
  <c r="AE82" i="12" s="1"/>
  <c r="AC91" i="12"/>
  <c r="AE91" i="12" s="1"/>
  <c r="X94" i="12"/>
  <c r="Z94" i="12" s="1"/>
  <c r="AA95" i="12"/>
  <c r="Z100" i="12"/>
  <c r="Z11" i="12"/>
  <c r="Z10" i="12" s="1"/>
  <c r="AC20" i="12"/>
  <c r="AE20" i="12" s="1"/>
  <c r="AC24" i="12"/>
  <c r="AE24" i="12" s="1"/>
  <c r="Z33" i="12"/>
  <c r="AA51" i="12"/>
  <c r="Y65" i="12"/>
  <c r="AA68" i="12"/>
  <c r="AA69" i="12"/>
  <c r="AA70" i="12"/>
  <c r="Y78" i="12"/>
  <c r="AA78" i="12" s="1"/>
  <c r="S77" i="12"/>
  <c r="AA89" i="12"/>
  <c r="Z91" i="12"/>
  <c r="AB23" i="12"/>
  <c r="AD23" i="12" s="1"/>
  <c r="AB37" i="12"/>
  <c r="AD37" i="12" s="1"/>
  <c r="X36" i="12"/>
  <c r="AB36" i="12" s="1"/>
  <c r="J16" i="12"/>
  <c r="AB20" i="12"/>
  <c r="AD20" i="12" s="1"/>
  <c r="AA24" i="12"/>
  <c r="AB26" i="12"/>
  <c r="AD26" i="12" s="1"/>
  <c r="Z37" i="12"/>
  <c r="Z36" i="12" s="1"/>
  <c r="Y63" i="12"/>
  <c r="AB68" i="12"/>
  <c r="AD68" i="12" s="1"/>
  <c r="AC71" i="12"/>
  <c r="AE71" i="12" s="1"/>
  <c r="AB81" i="12"/>
  <c r="AD81" i="12" s="1"/>
  <c r="N77" i="12"/>
  <c r="AB86" i="12"/>
  <c r="AD86" i="12" s="1"/>
  <c r="Y93" i="12"/>
  <c r="AA93" i="12" s="1"/>
  <c r="AC103" i="12"/>
  <c r="AE103" i="12" s="1"/>
  <c r="Y43" i="12"/>
  <c r="Y10" i="12"/>
  <c r="AA44" i="12"/>
  <c r="AA43" i="12" s="1"/>
  <c r="AC56" i="12"/>
  <c r="AB27" i="12"/>
  <c r="AD27" i="12" s="1"/>
  <c r="X32" i="12"/>
  <c r="AB35" i="12"/>
  <c r="AD35" i="12" s="1"/>
  <c r="AA46" i="12"/>
  <c r="AC55" i="12"/>
  <c r="AE55" i="12" s="1"/>
  <c r="Z60" i="12"/>
  <c r="AB71" i="12"/>
  <c r="AD71" i="12" s="1"/>
  <c r="X10" i="12"/>
  <c r="Z32" i="12"/>
  <c r="AB55" i="12"/>
  <c r="AD55" i="12" s="1"/>
  <c r="AA59" i="12"/>
  <c r="Z18" i="12"/>
  <c r="Z17" i="12" s="1"/>
  <c r="AB49" i="12"/>
  <c r="AD49" i="12" s="1"/>
  <c r="Z75" i="12"/>
  <c r="Z41" i="12"/>
  <c r="AA64" i="12"/>
  <c r="Z64" i="12"/>
  <c r="AB97" i="12"/>
  <c r="AD97" i="12" s="1"/>
  <c r="AB101" i="12"/>
  <c r="AD101" i="12" s="1"/>
  <c r="AC27" i="12"/>
  <c r="AE27" i="12" s="1"/>
  <c r="AA27" i="12"/>
  <c r="AC30" i="12"/>
  <c r="AE30" i="12" s="1"/>
  <c r="AA30" i="12"/>
  <c r="AB24" i="12"/>
  <c r="AD24" i="12" s="1"/>
  <c r="U25" i="12"/>
  <c r="Y25" i="12" s="1"/>
  <c r="AA12" i="12"/>
  <c r="Z13" i="12"/>
  <c r="AB18" i="12"/>
  <c r="AD18" i="12" s="1"/>
  <c r="U23" i="12"/>
  <c r="S22" i="12"/>
  <c r="S21" i="12"/>
  <c r="Z26" i="12"/>
  <c r="Y32" i="12"/>
  <c r="AC38" i="12"/>
  <c r="AE38" i="12" s="1"/>
  <c r="AC53" i="12"/>
  <c r="AE53" i="12" s="1"/>
  <c r="AA53" i="12"/>
  <c r="L104" i="12"/>
  <c r="L115" i="12" s="1"/>
  <c r="L108" i="12"/>
  <c r="O21" i="12"/>
  <c r="O22" i="12"/>
  <c r="S28" i="12"/>
  <c r="U29" i="12"/>
  <c r="U28" i="12" s="1"/>
  <c r="S104" i="12"/>
  <c r="S108" i="12" s="1"/>
  <c r="S10" i="12"/>
  <c r="S9" i="12"/>
  <c r="Y9" i="12" s="1"/>
  <c r="AC12" i="12"/>
  <c r="AE12" i="12" s="1"/>
  <c r="Y15" i="12"/>
  <c r="AA35" i="12"/>
  <c r="AA32" i="12" s="1"/>
  <c r="X104" i="12"/>
  <c r="Z9" i="12"/>
  <c r="AB25" i="12"/>
  <c r="AD25" i="12" s="1"/>
  <c r="U26" i="12"/>
  <c r="Y26" i="12" s="1"/>
  <c r="J31" i="12"/>
  <c r="AC34" i="12"/>
  <c r="AE34" i="12" s="1"/>
  <c r="AA39" i="12"/>
  <c r="AC49" i="12"/>
  <c r="AE49" i="12" s="1"/>
  <c r="AA49" i="12"/>
  <c r="AC16" i="12"/>
  <c r="AE16" i="12" s="1"/>
  <c r="H104" i="12"/>
  <c r="AC11" i="12"/>
  <c r="AE11" i="12" s="1"/>
  <c r="AB12" i="12"/>
  <c r="AD12" i="12" s="1"/>
  <c r="AB15" i="12"/>
  <c r="AD15" i="12" s="1"/>
  <c r="AC18" i="12"/>
  <c r="AE18" i="12" s="1"/>
  <c r="AB30" i="12"/>
  <c r="AD30" i="12" s="1"/>
  <c r="AC33" i="12"/>
  <c r="AE33" i="12" s="1"/>
  <c r="AB34" i="12"/>
  <c r="AD34" i="12" s="1"/>
  <c r="AB38" i="12"/>
  <c r="AB40" i="12"/>
  <c r="AD40" i="12" s="1"/>
  <c r="N42" i="12"/>
  <c r="U42" i="12"/>
  <c r="Y42" i="12" s="1"/>
  <c r="X43" i="12"/>
  <c r="X45" i="12"/>
  <c r="Z45" i="12" s="1"/>
  <c r="U47" i="12"/>
  <c r="AB56" i="12"/>
  <c r="AD56" i="12" s="1"/>
  <c r="AA57" i="12"/>
  <c r="AB58" i="12"/>
  <c r="AD58" i="12" s="1"/>
  <c r="AB76" i="12"/>
  <c r="AD76" i="12" s="1"/>
  <c r="Z78" i="12"/>
  <c r="X77" i="12"/>
  <c r="Z77" i="12" s="1"/>
  <c r="AB44" i="12"/>
  <c r="AD44" i="12" s="1"/>
  <c r="AB46" i="12"/>
  <c r="AD46" i="12" s="1"/>
  <c r="AB50" i="12"/>
  <c r="AD50" i="12" s="1"/>
  <c r="AC51" i="12"/>
  <c r="AE51" i="12" s="1"/>
  <c r="AE56" i="12"/>
  <c r="AB59" i="12"/>
  <c r="AD59" i="12" s="1"/>
  <c r="AB42" i="12"/>
  <c r="AD42" i="12" s="1"/>
  <c r="AA11" i="12"/>
  <c r="X14" i="12"/>
  <c r="U41" i="12"/>
  <c r="Y41" i="12" s="1"/>
  <c r="AC60" i="12"/>
  <c r="AE60" i="12" s="1"/>
  <c r="AB95" i="12"/>
  <c r="AD95" i="12" s="1"/>
  <c r="Z95" i="12"/>
  <c r="AA100" i="12"/>
  <c r="AC100" i="12"/>
  <c r="AE100" i="12" s="1"/>
  <c r="AC61" i="12"/>
  <c r="AE61" i="12" s="1"/>
  <c r="AC92" i="12"/>
  <c r="AE92" i="12" s="1"/>
  <c r="Z63" i="12"/>
  <c r="AA73" i="12"/>
  <c r="Z74" i="12"/>
  <c r="T77" i="12"/>
  <c r="AA79" i="12"/>
  <c r="AA84" i="12"/>
  <c r="AA87" i="12"/>
  <c r="Z88" i="12"/>
  <c r="Z90" i="12"/>
  <c r="T93" i="12"/>
  <c r="AA94" i="12"/>
  <c r="Z96" i="12"/>
  <c r="Y98" i="12"/>
  <c r="AA98" i="12" s="1"/>
  <c r="AA99" i="12"/>
  <c r="Y102" i="12"/>
  <c r="AA102" i="12" s="1"/>
  <c r="AA103" i="12"/>
  <c r="AA101" i="12" s="1"/>
  <c r="AB73" i="12"/>
  <c r="AD73" i="12" s="1"/>
  <c r="AA74" i="12"/>
  <c r="AC75" i="12"/>
  <c r="AE75" i="12" s="1"/>
  <c r="AB79" i="12"/>
  <c r="AD79" i="12" s="1"/>
  <c r="AA82" i="12"/>
  <c r="AB84" i="12"/>
  <c r="AD84" i="12" s="1"/>
  <c r="AC86" i="12"/>
  <c r="AE86" i="12" s="1"/>
  <c r="AB87" i="12"/>
  <c r="AD87" i="12" s="1"/>
  <c r="AB94" i="12"/>
  <c r="AD94" i="12" s="1"/>
  <c r="AB99" i="12"/>
  <c r="AD99" i="12" s="1"/>
  <c r="AB103" i="12"/>
  <c r="AD103" i="12" s="1"/>
  <c r="R65" i="12"/>
  <c r="U81" i="12"/>
  <c r="X98" i="12"/>
  <c r="Z98" i="12" s="1"/>
  <c r="X102" i="12"/>
  <c r="Z102" i="12" s="1"/>
  <c r="AA63" i="12" l="1"/>
  <c r="Y13" i="12"/>
  <c r="AA10" i="12"/>
  <c r="AC63" i="12"/>
  <c r="AE63" i="12" s="1"/>
  <c r="N104" i="12"/>
  <c r="J104" i="12"/>
  <c r="X93" i="12"/>
  <c r="Z93" i="12" s="1"/>
  <c r="Z76" i="12"/>
  <c r="O104" i="12"/>
  <c r="AC78" i="12"/>
  <c r="AE78" i="12" s="1"/>
  <c r="AA65" i="12"/>
  <c r="Y37" i="12"/>
  <c r="Y36" i="12" s="1"/>
  <c r="AA41" i="12"/>
  <c r="AC41" i="12"/>
  <c r="AE41" i="12" s="1"/>
  <c r="AC42" i="12"/>
  <c r="AE42" i="12" s="1"/>
  <c r="AA42" i="12"/>
  <c r="AA9" i="12"/>
  <c r="AC9" i="12"/>
  <c r="AC26" i="12"/>
  <c r="AE26" i="12" s="1"/>
  <c r="AA26" i="12"/>
  <c r="U22" i="12"/>
  <c r="U21" i="12"/>
  <c r="Y21" i="12" s="1"/>
  <c r="U77" i="12"/>
  <c r="U62" i="12"/>
  <c r="Y62" i="12" s="1"/>
  <c r="Y81" i="12"/>
  <c r="U45" i="12"/>
  <c r="U40" i="12"/>
  <c r="Y40" i="12" s="1"/>
  <c r="Y47" i="12"/>
  <c r="AC31" i="12"/>
  <c r="AE31" i="12" s="1"/>
  <c r="AC13" i="12"/>
  <c r="AE13" i="12" s="1"/>
  <c r="AA13" i="12"/>
  <c r="AC25" i="12"/>
  <c r="AE25" i="12" s="1"/>
  <c r="AA25" i="12"/>
  <c r="AC15" i="12"/>
  <c r="AE15" i="12" s="1"/>
  <c r="AA15" i="12"/>
  <c r="AA14" i="12" s="1"/>
  <c r="Y14" i="12"/>
  <c r="Y29" i="12"/>
  <c r="Y23" i="12"/>
  <c r="AA37" i="12"/>
  <c r="AA36" i="12" s="1"/>
  <c r="L113" i="12"/>
  <c r="L111" i="12"/>
  <c r="AC37" i="12" l="1"/>
  <c r="AE37" i="12" s="1"/>
  <c r="AA21" i="12"/>
  <c r="AC21" i="12"/>
  <c r="AE21" i="12" s="1"/>
  <c r="AC62" i="12"/>
  <c r="AE62" i="12" s="1"/>
  <c r="AA62" i="12"/>
  <c r="Y108" i="12"/>
  <c r="AA23" i="12"/>
  <c r="AC23" i="12"/>
  <c r="AE23" i="12" s="1"/>
  <c r="Y22" i="12"/>
  <c r="AA22" i="12" s="1"/>
  <c r="Y104" i="12"/>
  <c r="AA40" i="12"/>
  <c r="AC40" i="12"/>
  <c r="AE40" i="12" s="1"/>
  <c r="AA47" i="12"/>
  <c r="AC47" i="12"/>
  <c r="AE47" i="12" s="1"/>
  <c r="Y45" i="12"/>
  <c r="AA45" i="12" s="1"/>
  <c r="AC29" i="12"/>
  <c r="AE29" i="12" s="1"/>
  <c r="AA29" i="12"/>
  <c r="AA28" i="12" s="1"/>
  <c r="Y28" i="12"/>
  <c r="U104" i="12"/>
  <c r="AE9" i="12"/>
  <c r="AA81" i="12"/>
  <c r="Y77" i="12"/>
  <c r="AA77" i="12" s="1"/>
  <c r="AC81" i="12"/>
  <c r="AE81" i="12" s="1"/>
  <c r="AC104" i="12" l="1"/>
  <c r="Y117" i="12"/>
  <c r="Y118" i="12" s="1"/>
  <c r="Y105" i="12"/>
  <c r="W92" i="5" l="1"/>
  <c r="W101" i="5"/>
  <c r="W97" i="5"/>
  <c r="P92" i="5"/>
  <c r="W55" i="5"/>
  <c r="W56" i="5"/>
  <c r="W57" i="5"/>
  <c r="W58" i="5"/>
  <c r="W59" i="5"/>
  <c r="W60" i="5"/>
  <c r="AN38" i="5" l="1"/>
  <c r="AN37" i="5"/>
  <c r="N86" i="5" l="1"/>
  <c r="N84" i="5"/>
  <c r="N97" i="5"/>
  <c r="N101" i="5"/>
  <c r="N88" i="5"/>
  <c r="N87" i="5"/>
  <c r="N89" i="5"/>
  <c r="N82" i="5"/>
  <c r="N81" i="5"/>
  <c r="N57" i="5"/>
  <c r="N56" i="5"/>
  <c r="N55" i="5"/>
  <c r="N59" i="5" l="1"/>
  <c r="N60" i="5" l="1"/>
  <c r="N76" i="5" l="1"/>
  <c r="N75" i="5"/>
  <c r="N74" i="5"/>
  <c r="N73" i="5"/>
  <c r="N68" i="5"/>
  <c r="N66" i="5"/>
  <c r="N53" i="5"/>
  <c r="N62" i="5" l="1"/>
  <c r="N51" i="5"/>
  <c r="N50" i="5"/>
  <c r="N49" i="5"/>
  <c r="P40" i="5"/>
  <c r="L40" i="5"/>
  <c r="P31" i="5"/>
  <c r="N31" i="5"/>
  <c r="L31" i="5"/>
  <c r="P21" i="5"/>
  <c r="N21" i="5"/>
  <c r="L21" i="5"/>
  <c r="N16" i="5"/>
  <c r="L16" i="5"/>
  <c r="N13" i="5"/>
  <c r="N9" i="5"/>
  <c r="L9" i="5"/>
  <c r="N40" i="5" l="1"/>
  <c r="X103" i="5"/>
  <c r="Z103" i="5" s="1"/>
  <c r="Z101" i="5" s="1"/>
  <c r="W103" i="5"/>
  <c r="Y103" i="5" s="1"/>
  <c r="J103" i="5"/>
  <c r="I103" i="5"/>
  <c r="I101" i="5" s="1"/>
  <c r="X100" i="5"/>
  <c r="W100" i="5"/>
  <c r="AA100" i="5" s="1"/>
  <c r="AC100" i="5" s="1"/>
  <c r="J100" i="5"/>
  <c r="X99" i="5"/>
  <c r="Z99" i="5" s="1"/>
  <c r="W99" i="5"/>
  <c r="J99" i="5"/>
  <c r="X96" i="5"/>
  <c r="Z96" i="5" s="1"/>
  <c r="W96" i="5"/>
  <c r="Y96" i="5" s="1"/>
  <c r="X95" i="5"/>
  <c r="W95" i="5"/>
  <c r="Y95" i="5" s="1"/>
  <c r="X94" i="5"/>
  <c r="Z94" i="5" s="1"/>
  <c r="O94" i="5"/>
  <c r="W94" i="5" s="1"/>
  <c r="Y94" i="5" s="1"/>
  <c r="J94" i="5"/>
  <c r="J92" i="5" s="1"/>
  <c r="I94" i="5"/>
  <c r="Y97" i="5"/>
  <c r="P97" i="5"/>
  <c r="L97" i="5"/>
  <c r="I97" i="5"/>
  <c r="AA97" i="5" s="1"/>
  <c r="AC97" i="5" s="1"/>
  <c r="H97" i="5"/>
  <c r="AA92" i="5"/>
  <c r="AC92" i="5" s="1"/>
  <c r="Y92" i="5"/>
  <c r="X92" i="5"/>
  <c r="N92" i="5"/>
  <c r="N105" i="5" s="1"/>
  <c r="N108" i="5" s="1"/>
  <c r="L92" i="5"/>
  <c r="H92" i="5"/>
  <c r="X91" i="5"/>
  <c r="Z91" i="5" s="1"/>
  <c r="W91" i="5"/>
  <c r="J91" i="5"/>
  <c r="X90" i="5"/>
  <c r="Z90" i="5" s="1"/>
  <c r="W90" i="5"/>
  <c r="Y90" i="5" s="1"/>
  <c r="X89" i="5"/>
  <c r="W89" i="5"/>
  <c r="AA89" i="5" s="1"/>
  <c r="AC89" i="5" s="1"/>
  <c r="X88" i="5"/>
  <c r="Z88" i="5" s="1"/>
  <c r="W88" i="5"/>
  <c r="Y88" i="5" s="1"/>
  <c r="X87" i="5"/>
  <c r="W87" i="5"/>
  <c r="AA87" i="5" s="1"/>
  <c r="AC87" i="5" s="1"/>
  <c r="X86" i="5"/>
  <c r="Z86" i="5" s="1"/>
  <c r="W86" i="5"/>
  <c r="Y86" i="5" s="1"/>
  <c r="J86" i="5"/>
  <c r="I86" i="5"/>
  <c r="X84" i="5"/>
  <c r="W84" i="5"/>
  <c r="Y84" i="5" s="1"/>
  <c r="J84" i="5"/>
  <c r="I84" i="5"/>
  <c r="X82" i="5"/>
  <c r="Z82" i="5" s="1"/>
  <c r="W82" i="5"/>
  <c r="Y82" i="5" s="1"/>
  <c r="J82" i="5"/>
  <c r="I82" i="5"/>
  <c r="X81" i="5"/>
  <c r="W81" i="5"/>
  <c r="Y81" i="5" s="1"/>
  <c r="J81" i="5"/>
  <c r="I81" i="5"/>
  <c r="AB80" i="5"/>
  <c r="X79" i="5"/>
  <c r="AB79" i="5" s="1"/>
  <c r="AD79" i="5" s="1"/>
  <c r="W79" i="5"/>
  <c r="Y79" i="5" s="1"/>
  <c r="X78" i="5"/>
  <c r="Z78" i="5" s="1"/>
  <c r="W78" i="5"/>
  <c r="Y78" i="5" s="1"/>
  <c r="J78" i="5"/>
  <c r="I78" i="5"/>
  <c r="X76" i="5"/>
  <c r="Z76" i="5" s="1"/>
  <c r="W76" i="5"/>
  <c r="AA76" i="5" s="1"/>
  <c r="AC76" i="5" s="1"/>
  <c r="X75" i="5"/>
  <c r="AB75" i="5" s="1"/>
  <c r="AD75" i="5" s="1"/>
  <c r="W75" i="5"/>
  <c r="AA75" i="5" s="1"/>
  <c r="AC75" i="5" s="1"/>
  <c r="X73" i="5"/>
  <c r="Z73" i="5" s="1"/>
  <c r="W73" i="5"/>
  <c r="AA73" i="5" s="1"/>
  <c r="AC73" i="5" s="1"/>
  <c r="J73" i="5"/>
  <c r="X74" i="5"/>
  <c r="AB74" i="5" s="1"/>
  <c r="AD74" i="5" s="1"/>
  <c r="W74" i="5"/>
  <c r="AA74" i="5" s="1"/>
  <c r="AC74" i="5" s="1"/>
  <c r="X71" i="5"/>
  <c r="W71" i="5"/>
  <c r="Y71" i="5" s="1"/>
  <c r="J71" i="5"/>
  <c r="I71" i="5"/>
  <c r="X70" i="5"/>
  <c r="W70" i="5"/>
  <c r="AA70" i="5" s="1"/>
  <c r="AC70" i="5" s="1"/>
  <c r="X69" i="5"/>
  <c r="Z69" i="5" s="1"/>
  <c r="W69" i="5"/>
  <c r="Y69" i="5" s="1"/>
  <c r="X68" i="5"/>
  <c r="W68" i="5"/>
  <c r="Y68" i="5" s="1"/>
  <c r="J68" i="5"/>
  <c r="I68" i="5"/>
  <c r="AD67" i="5"/>
  <c r="AC67" i="5"/>
  <c r="X66" i="5"/>
  <c r="Z66" i="5" s="1"/>
  <c r="W66" i="5"/>
  <c r="Y66" i="5" s="1"/>
  <c r="J66" i="5"/>
  <c r="I66" i="5"/>
  <c r="X62" i="5"/>
  <c r="W62" i="5"/>
  <c r="Y62" i="5" s="1"/>
  <c r="L62" i="5"/>
  <c r="H62" i="5"/>
  <c r="X61" i="5"/>
  <c r="Z61" i="5" s="1"/>
  <c r="W61" i="5"/>
  <c r="Y61" i="5" s="1"/>
  <c r="J61" i="5"/>
  <c r="I61" i="5"/>
  <c r="X60" i="5"/>
  <c r="AB60" i="5" s="1"/>
  <c r="AD60" i="5" s="1"/>
  <c r="AA60" i="5"/>
  <c r="AC60" i="5" s="1"/>
  <c r="X59" i="5"/>
  <c r="AB59" i="5" s="1"/>
  <c r="AD59" i="5" s="1"/>
  <c r="Y59" i="5"/>
  <c r="X58" i="5"/>
  <c r="AB58" i="5" s="1"/>
  <c r="AD58" i="5" s="1"/>
  <c r="Y58" i="5"/>
  <c r="X57" i="5"/>
  <c r="Z57" i="5" s="1"/>
  <c r="Y57" i="5"/>
  <c r="J57" i="5"/>
  <c r="I57" i="5"/>
  <c r="X56" i="5"/>
  <c r="Z56" i="5" s="1"/>
  <c r="Y56" i="5"/>
  <c r="J56" i="5"/>
  <c r="I56" i="5"/>
  <c r="H56" i="5"/>
  <c r="H40" i="5" s="1"/>
  <c r="X55" i="5"/>
  <c r="Z55" i="5" s="1"/>
  <c r="Y55" i="5"/>
  <c r="J55" i="5"/>
  <c r="I55" i="5"/>
  <c r="X53" i="5"/>
  <c r="Z53" i="5" s="1"/>
  <c r="W53" i="5"/>
  <c r="Y53" i="5" s="1"/>
  <c r="J53" i="5"/>
  <c r="I53" i="5"/>
  <c r="X51" i="5"/>
  <c r="W51" i="5"/>
  <c r="Y51" i="5" s="1"/>
  <c r="J51" i="5"/>
  <c r="I51" i="5"/>
  <c r="X50" i="5"/>
  <c r="Z50" i="5" s="1"/>
  <c r="W50" i="5"/>
  <c r="Y50" i="5" s="1"/>
  <c r="J50" i="5"/>
  <c r="I50" i="5"/>
  <c r="X49" i="5"/>
  <c r="Z49" i="5" s="1"/>
  <c r="W49" i="5"/>
  <c r="Y49" i="5" s="1"/>
  <c r="J49" i="5"/>
  <c r="I49" i="5"/>
  <c r="X47" i="5"/>
  <c r="Z47" i="5" s="1"/>
  <c r="W47" i="5"/>
  <c r="Y47" i="5" s="1"/>
  <c r="J47" i="5"/>
  <c r="I47" i="5"/>
  <c r="X46" i="5"/>
  <c r="Z46" i="5" s="1"/>
  <c r="W46" i="5"/>
  <c r="Y46" i="5" s="1"/>
  <c r="J46" i="5"/>
  <c r="X44" i="5"/>
  <c r="W44" i="5"/>
  <c r="Y44" i="5" s="1"/>
  <c r="J44" i="5"/>
  <c r="X40" i="5"/>
  <c r="W40" i="5"/>
  <c r="Y40" i="5" s="1"/>
  <c r="X39" i="5"/>
  <c r="W39" i="5"/>
  <c r="AA39" i="5" s="1"/>
  <c r="AC39" i="5" s="1"/>
  <c r="J39" i="5"/>
  <c r="X38" i="5"/>
  <c r="Z38" i="5" s="1"/>
  <c r="W38" i="5"/>
  <c r="J38" i="5"/>
  <c r="X37" i="5"/>
  <c r="Z37" i="5" s="1"/>
  <c r="W37" i="5"/>
  <c r="AA37" i="5" s="1"/>
  <c r="AC37" i="5" s="1"/>
  <c r="J37" i="5"/>
  <c r="AA36" i="5"/>
  <c r="X30" i="5"/>
  <c r="Z30" i="5" s="1"/>
  <c r="W30" i="5"/>
  <c r="Y30" i="5" s="1"/>
  <c r="J30" i="5"/>
  <c r="X29" i="5"/>
  <c r="Z29" i="5" s="1"/>
  <c r="W29" i="5"/>
  <c r="Y29" i="5" s="1"/>
  <c r="J29" i="5"/>
  <c r="X35" i="5"/>
  <c r="Z35" i="5" s="1"/>
  <c r="W35" i="5"/>
  <c r="Y35" i="5" s="1"/>
  <c r="J35" i="5"/>
  <c r="I35" i="5"/>
  <c r="X34" i="5"/>
  <c r="Z34" i="5" s="1"/>
  <c r="W34" i="5"/>
  <c r="Y34" i="5" s="1"/>
  <c r="J34" i="5"/>
  <c r="X33" i="5"/>
  <c r="Z33" i="5" s="1"/>
  <c r="W33" i="5"/>
  <c r="AA33" i="5" s="1"/>
  <c r="AC33" i="5" s="1"/>
  <c r="X27" i="5"/>
  <c r="Z27" i="5" s="1"/>
  <c r="W27" i="5"/>
  <c r="Y27" i="5" s="1"/>
  <c r="J27" i="5"/>
  <c r="I27" i="5"/>
  <c r="X26" i="5"/>
  <c r="Z26" i="5" s="1"/>
  <c r="W26" i="5"/>
  <c r="Y26" i="5" s="1"/>
  <c r="J26" i="5"/>
  <c r="I26" i="5"/>
  <c r="X25" i="5"/>
  <c r="Z25" i="5" s="1"/>
  <c r="W25" i="5"/>
  <c r="Y25" i="5" s="1"/>
  <c r="J25" i="5"/>
  <c r="I25" i="5"/>
  <c r="I31" i="5" s="1"/>
  <c r="X24" i="5"/>
  <c r="W24" i="5"/>
  <c r="Y24" i="5" s="1"/>
  <c r="J24" i="5"/>
  <c r="I24" i="5"/>
  <c r="X23" i="5"/>
  <c r="Z23" i="5" s="1"/>
  <c r="W23" i="5"/>
  <c r="Y23" i="5" s="1"/>
  <c r="J23" i="5"/>
  <c r="I23" i="5"/>
  <c r="X20" i="5"/>
  <c r="Z20" i="5" s="1"/>
  <c r="W20" i="5"/>
  <c r="Y20" i="5" s="1"/>
  <c r="J20" i="5"/>
  <c r="I20" i="5"/>
  <c r="X18" i="5"/>
  <c r="Z18" i="5" s="1"/>
  <c r="W18" i="5"/>
  <c r="Y18" i="5" s="1"/>
  <c r="J18" i="5"/>
  <c r="I18" i="5"/>
  <c r="X15" i="5"/>
  <c r="AB15" i="5" s="1"/>
  <c r="AD15" i="5" s="1"/>
  <c r="W15" i="5"/>
  <c r="AA15" i="5" s="1"/>
  <c r="AC15" i="5" s="1"/>
  <c r="X12" i="5"/>
  <c r="AB12" i="5" s="1"/>
  <c r="AD12" i="5" s="1"/>
  <c r="W12" i="5"/>
  <c r="Y12" i="5" s="1"/>
  <c r="X11" i="5"/>
  <c r="Z11" i="5" s="1"/>
  <c r="W11" i="5"/>
  <c r="Y11" i="5" s="1"/>
  <c r="J11" i="5"/>
  <c r="J9" i="5" s="1"/>
  <c r="I11" i="5"/>
  <c r="I9" i="5" s="1"/>
  <c r="H11" i="5"/>
  <c r="H9" i="5" s="1"/>
  <c r="P9" i="5"/>
  <c r="O9" i="5"/>
  <c r="W9" i="5" s="1"/>
  <c r="Y9" i="5" s="1"/>
  <c r="P16" i="5"/>
  <c r="X16" i="5" s="1"/>
  <c r="Z16" i="5" s="1"/>
  <c r="O16" i="5"/>
  <c r="W16" i="5" s="1"/>
  <c r="Y16" i="5" s="1"/>
  <c r="H16" i="5"/>
  <c r="W31" i="5"/>
  <c r="Y31" i="5" s="1"/>
  <c r="X31" i="5"/>
  <c r="Z31" i="5" s="1"/>
  <c r="H31" i="5"/>
  <c r="W13" i="5"/>
  <c r="Y13" i="5" s="1"/>
  <c r="P13" i="5"/>
  <c r="X13" i="5" s="1"/>
  <c r="Z13" i="5" s="1"/>
  <c r="AI21" i="5"/>
  <c r="X21" i="5"/>
  <c r="Z21" i="5" s="1"/>
  <c r="H21" i="5"/>
  <c r="Z40" i="5" l="1"/>
  <c r="X9" i="5"/>
  <c r="AB9" i="5" s="1"/>
  <c r="AD9" i="5" s="1"/>
  <c r="P105" i="5"/>
  <c r="L105" i="5"/>
  <c r="L110" i="5" s="1"/>
  <c r="X97" i="5"/>
  <c r="AB24" i="5"/>
  <c r="AD24" i="5" s="1"/>
  <c r="AA71" i="5"/>
  <c r="AC71" i="5" s="1"/>
  <c r="AA56" i="5"/>
  <c r="AC56" i="5" s="1"/>
  <c r="AA20" i="5"/>
  <c r="AC20" i="5" s="1"/>
  <c r="AB61" i="5"/>
  <c r="AD61" i="5" s="1"/>
  <c r="AA46" i="5"/>
  <c r="AC46" i="5" s="1"/>
  <c r="AA47" i="5"/>
  <c r="AC47" i="5" s="1"/>
  <c r="AA49" i="5"/>
  <c r="AC49" i="5" s="1"/>
  <c r="AA35" i="5"/>
  <c r="AC35" i="5" s="1"/>
  <c r="AA51" i="5"/>
  <c r="AC51" i="5" s="1"/>
  <c r="J16" i="5"/>
  <c r="AB16" i="5" s="1"/>
  <c r="AD16" i="5" s="1"/>
  <c r="J31" i="5"/>
  <c r="AB31" i="5" s="1"/>
  <c r="AD31" i="5" s="1"/>
  <c r="Y37" i="5"/>
  <c r="Z58" i="5"/>
  <c r="Z12" i="5"/>
  <c r="AA25" i="5"/>
  <c r="AC25" i="5" s="1"/>
  <c r="AA66" i="5"/>
  <c r="AC66" i="5" s="1"/>
  <c r="AB73" i="5"/>
  <c r="AD73" i="5" s="1"/>
  <c r="AA84" i="5"/>
  <c r="AC84" i="5" s="1"/>
  <c r="AA9" i="5"/>
  <c r="AC9" i="5" s="1"/>
  <c r="Z62" i="5"/>
  <c r="AB66" i="5"/>
  <c r="AD66" i="5" s="1"/>
  <c r="AB81" i="5"/>
  <c r="AD81" i="5" s="1"/>
  <c r="AB91" i="5"/>
  <c r="AD91" i="5" s="1"/>
  <c r="AA95" i="5"/>
  <c r="AC95" i="5" s="1"/>
  <c r="Z15" i="5"/>
  <c r="Z79" i="5"/>
  <c r="AB23" i="5"/>
  <c r="AD23" i="5" s="1"/>
  <c r="AB33" i="5"/>
  <c r="AD33" i="5" s="1"/>
  <c r="Z75" i="5"/>
  <c r="Y89" i="5"/>
  <c r="AB92" i="5"/>
  <c r="AD92" i="5" s="1"/>
  <c r="J97" i="5"/>
  <c r="AA68" i="5"/>
  <c r="AC68" i="5" s="1"/>
  <c r="AB71" i="5"/>
  <c r="AD71" i="5" s="1"/>
  <c r="Y74" i="5"/>
  <c r="AB100" i="5"/>
  <c r="AD100" i="5" s="1"/>
  <c r="Y15" i="5"/>
  <c r="AB49" i="5"/>
  <c r="AD49" i="5" s="1"/>
  <c r="Z59" i="5"/>
  <c r="AB82" i="5"/>
  <c r="AD82" i="5" s="1"/>
  <c r="AB94" i="5"/>
  <c r="AD94" i="5" s="1"/>
  <c r="Y76" i="5"/>
  <c r="Y87" i="5"/>
  <c r="AA90" i="5"/>
  <c r="AC90" i="5" s="1"/>
  <c r="AB20" i="5"/>
  <c r="AD20" i="5" s="1"/>
  <c r="Z24" i="5"/>
  <c r="AA27" i="5"/>
  <c r="AC27" i="5" s="1"/>
  <c r="AA29" i="5"/>
  <c r="AC29" i="5" s="1"/>
  <c r="AB30" i="5"/>
  <c r="AD30" i="5" s="1"/>
  <c r="AB37" i="5"/>
  <c r="AD37" i="5" s="1"/>
  <c r="AB38" i="5"/>
  <c r="AD38" i="5" s="1"/>
  <c r="Y39" i="5"/>
  <c r="AB46" i="5"/>
  <c r="AD46" i="5" s="1"/>
  <c r="AB56" i="5"/>
  <c r="AD56" i="5" s="1"/>
  <c r="Z81" i="5"/>
  <c r="AB86" i="5"/>
  <c r="AD86" i="5" s="1"/>
  <c r="AB88" i="5"/>
  <c r="AD88" i="5" s="1"/>
  <c r="AA13" i="5"/>
  <c r="AC13" i="5" s="1"/>
  <c r="I16" i="5"/>
  <c r="AA16" i="5" s="1"/>
  <c r="AC16" i="5" s="1"/>
  <c r="AB27" i="5"/>
  <c r="AD27" i="5" s="1"/>
  <c r="Y33" i="5"/>
  <c r="AB29" i="5"/>
  <c r="AD29" i="5" s="1"/>
  <c r="AA40" i="5"/>
  <c r="AC40" i="5" s="1"/>
  <c r="AB44" i="5"/>
  <c r="AD44" i="5" s="1"/>
  <c r="AB53" i="5"/>
  <c r="AD53" i="5" s="1"/>
  <c r="AA57" i="5"/>
  <c r="AC57" i="5" s="1"/>
  <c r="Y60" i="5"/>
  <c r="Y70" i="5"/>
  <c r="Z71" i="5"/>
  <c r="Z74" i="5"/>
  <c r="AA78" i="5"/>
  <c r="AC78" i="5" s="1"/>
  <c r="AB90" i="5"/>
  <c r="AD90" i="5" s="1"/>
  <c r="Z97" i="5"/>
  <c r="AA96" i="5"/>
  <c r="AC96" i="5" s="1"/>
  <c r="Y100" i="5"/>
  <c r="AA12" i="5"/>
  <c r="AC12" i="5" s="1"/>
  <c r="J21" i="5"/>
  <c r="AB21" i="5" s="1"/>
  <c r="AD21" i="5" s="1"/>
  <c r="AA30" i="5"/>
  <c r="AC30" i="5" s="1"/>
  <c r="AB40" i="5"/>
  <c r="AD40" i="5" s="1"/>
  <c r="Z44" i="5"/>
  <c r="AA50" i="5"/>
  <c r="AC50" i="5" s="1"/>
  <c r="AA53" i="5"/>
  <c r="AC53" i="5" s="1"/>
  <c r="AB55" i="5"/>
  <c r="AD55" i="5" s="1"/>
  <c r="AA58" i="5"/>
  <c r="AC58" i="5" s="1"/>
  <c r="AA59" i="5"/>
  <c r="AC59" i="5" s="1"/>
  <c r="Z60" i="5"/>
  <c r="AB69" i="5"/>
  <c r="AD69" i="5" s="1"/>
  <c r="Y73" i="5"/>
  <c r="Y75" i="5"/>
  <c r="AB96" i="5"/>
  <c r="AD96" i="5" s="1"/>
  <c r="Z100" i="5"/>
  <c r="AA103" i="5"/>
  <c r="AC103" i="5" s="1"/>
  <c r="AK7" i="5"/>
  <c r="AB13" i="5"/>
  <c r="AA31" i="5"/>
  <c r="AC31" i="5" s="1"/>
  <c r="AA11" i="5"/>
  <c r="AC11" i="5" s="1"/>
  <c r="AA18" i="5"/>
  <c r="AC18" i="5" s="1"/>
  <c r="AA26" i="5"/>
  <c r="AC26" i="5" s="1"/>
  <c r="AA82" i="5"/>
  <c r="AC82" i="5" s="1"/>
  <c r="AA86" i="5"/>
  <c r="AC86" i="5" s="1"/>
  <c r="Z89" i="5"/>
  <c r="AB89" i="5"/>
  <c r="AD89" i="5" s="1"/>
  <c r="Z92" i="5"/>
  <c r="AA94" i="5"/>
  <c r="AC94" i="5" s="1"/>
  <c r="Y99" i="5"/>
  <c r="AA99" i="5"/>
  <c r="AC99" i="5" s="1"/>
  <c r="AA34" i="5"/>
  <c r="AC34" i="5" s="1"/>
  <c r="AA55" i="5"/>
  <c r="AC55" i="5" s="1"/>
  <c r="AA61" i="5"/>
  <c r="AC61" i="5" s="1"/>
  <c r="AA62" i="5"/>
  <c r="AC62" i="5" s="1"/>
  <c r="AB76" i="5"/>
  <c r="AD76" i="5" s="1"/>
  <c r="AA88" i="5"/>
  <c r="AC88" i="5" s="1"/>
  <c r="Y91" i="5"/>
  <c r="AA91" i="5"/>
  <c r="AC91" i="5" s="1"/>
  <c r="AB25" i="5"/>
  <c r="AD25" i="5" s="1"/>
  <c r="AB39" i="5"/>
  <c r="AD39" i="5" s="1"/>
  <c r="Z39" i="5"/>
  <c r="Z51" i="5"/>
  <c r="AB51" i="5"/>
  <c r="AD51" i="5" s="1"/>
  <c r="AB11" i="5"/>
  <c r="AD11" i="5" s="1"/>
  <c r="AB18" i="5"/>
  <c r="AD18" i="5" s="1"/>
  <c r="AA23" i="5"/>
  <c r="AC23" i="5" s="1"/>
  <c r="I21" i="5"/>
  <c r="AA21" i="5" s="1"/>
  <c r="AC21" i="5" s="1"/>
  <c r="AA24" i="5"/>
  <c r="AC24" i="5" s="1"/>
  <c r="AB26" i="5"/>
  <c r="AD26" i="5" s="1"/>
  <c r="AB34" i="5"/>
  <c r="AD34" i="5" s="1"/>
  <c r="AB35" i="5"/>
  <c r="AD35" i="5" s="1"/>
  <c r="AA44" i="5"/>
  <c r="AC44" i="5" s="1"/>
  <c r="Z68" i="5"/>
  <c r="AB68" i="5"/>
  <c r="AD68" i="5" s="1"/>
  <c r="Z70" i="5"/>
  <c r="AB70" i="5"/>
  <c r="AD70" i="5" s="1"/>
  <c r="AA79" i="5"/>
  <c r="AC79" i="5" s="1"/>
  <c r="AA81" i="5"/>
  <c r="AC81" i="5" s="1"/>
  <c r="AB99" i="5"/>
  <c r="AD99" i="5" s="1"/>
  <c r="AA38" i="5"/>
  <c r="Y38" i="5"/>
  <c r="AA69" i="5"/>
  <c r="AC69" i="5" s="1"/>
  <c r="Z84" i="5"/>
  <c r="AB84" i="5"/>
  <c r="AD84" i="5" s="1"/>
  <c r="Z87" i="5"/>
  <c r="AB87" i="5"/>
  <c r="AD87" i="5" s="1"/>
  <c r="Z95" i="5"/>
  <c r="AB95" i="5"/>
  <c r="AD95" i="5" s="1"/>
  <c r="Y101" i="5"/>
  <c r="AB47" i="5"/>
  <c r="AD47" i="5" s="1"/>
  <c r="J62" i="5"/>
  <c r="AB50" i="5"/>
  <c r="AD50" i="5" s="1"/>
  <c r="AB57" i="5"/>
  <c r="AD57" i="5" s="1"/>
  <c r="AB78" i="5"/>
  <c r="AD78" i="5" s="1"/>
  <c r="X101" i="5"/>
  <c r="AB103" i="5"/>
  <c r="AD103" i="5" s="1"/>
  <c r="AC66" i="1"/>
  <c r="AD66" i="1"/>
  <c r="AA15" i="1"/>
  <c r="AA18" i="1"/>
  <c r="AA20" i="1"/>
  <c r="AA22" i="1"/>
  <c r="AA24" i="1"/>
  <c r="AA34" i="1"/>
  <c r="AA37" i="1"/>
  <c r="AA75" i="1"/>
  <c r="AA78" i="1"/>
  <c r="AA81" i="1"/>
  <c r="AA83" i="1"/>
  <c r="AA90" i="1"/>
  <c r="AC90" i="1" s="1"/>
  <c r="AA91" i="1"/>
  <c r="J94" i="1"/>
  <c r="I94" i="1"/>
  <c r="N92" i="1"/>
  <c r="N91" i="1"/>
  <c r="L92" i="1"/>
  <c r="L91" i="1"/>
  <c r="J91" i="1"/>
  <c r="N63" i="1"/>
  <c r="L63" i="1"/>
  <c r="H63" i="1"/>
  <c r="J89" i="1"/>
  <c r="I84" i="1"/>
  <c r="I82" i="1"/>
  <c r="I80" i="1"/>
  <c r="I79" i="1"/>
  <c r="I76" i="1"/>
  <c r="I70" i="1"/>
  <c r="I67" i="1"/>
  <c r="I65" i="1"/>
  <c r="W63" i="1"/>
  <c r="AA63" i="1" s="1"/>
  <c r="AC63" i="1" s="1"/>
  <c r="X63" i="1"/>
  <c r="Y63" i="1"/>
  <c r="W42" i="1"/>
  <c r="Y42" i="1" s="1"/>
  <c r="X42" i="1"/>
  <c r="Z42" i="1" s="1"/>
  <c r="I57" i="1"/>
  <c r="I61" i="1"/>
  <c r="I56" i="1"/>
  <c r="I55" i="1"/>
  <c r="I53" i="1"/>
  <c r="I51" i="1"/>
  <c r="AC91" i="1"/>
  <c r="Y90" i="1"/>
  <c r="Y91" i="1"/>
  <c r="Y92" i="1"/>
  <c r="I50" i="1"/>
  <c r="I49" i="1"/>
  <c r="I47" i="1"/>
  <c r="I46" i="1"/>
  <c r="I92" i="1"/>
  <c r="AA92" i="1" s="1"/>
  <c r="AC92" i="1" s="1"/>
  <c r="I62" i="1"/>
  <c r="J38" i="1"/>
  <c r="J36" i="1"/>
  <c r="J33" i="1"/>
  <c r="AI10" i="1"/>
  <c r="AI14" i="1" s="1"/>
  <c r="J26" i="1"/>
  <c r="L9" i="1"/>
  <c r="AH14" i="1"/>
  <c r="AJ14" i="1"/>
  <c r="AG14" i="1"/>
  <c r="J40" i="1"/>
  <c r="J39" i="1"/>
  <c r="J35" i="1"/>
  <c r="J29" i="1"/>
  <c r="J28" i="1"/>
  <c r="J27" i="1"/>
  <c r="J25" i="1"/>
  <c r="J23" i="1"/>
  <c r="J21" i="1"/>
  <c r="AA42" i="1" l="1"/>
  <c r="AC42" i="1" s="1"/>
  <c r="Z63" i="1"/>
  <c r="AB97" i="5"/>
  <c r="AD97" i="5" s="1"/>
  <c r="Z9" i="5"/>
  <c r="X105" i="5"/>
  <c r="L108" i="5"/>
  <c r="AB101" i="5"/>
  <c r="AA101" i="5"/>
  <c r="AC101" i="5" s="1"/>
  <c r="AB62" i="5"/>
  <c r="AD62" i="5" s="1"/>
  <c r="J16" i="1"/>
  <c r="AD101" i="5" l="1"/>
  <c r="I33" i="1"/>
  <c r="J32" i="1"/>
  <c r="J12" i="1" s="1"/>
  <c r="J10" i="1"/>
  <c r="I26" i="1"/>
  <c r="I27" i="1"/>
  <c r="I28" i="1"/>
  <c r="I29" i="1"/>
  <c r="I25" i="1"/>
  <c r="J13" i="1"/>
  <c r="I23" i="1"/>
  <c r="O14" i="1"/>
  <c r="J14" i="1"/>
  <c r="I21" i="1"/>
  <c r="I16" i="1"/>
  <c r="H10" i="1"/>
  <c r="H12" i="1"/>
  <c r="H13" i="1"/>
  <c r="H56" i="1"/>
  <c r="H42" i="1" s="1"/>
  <c r="H92" i="1"/>
  <c r="H91" i="1"/>
  <c r="I103" i="1"/>
  <c r="I101" i="1" s="1"/>
  <c r="X91" i="1"/>
  <c r="Z91" i="1" s="1"/>
  <c r="H90" i="1" l="1"/>
  <c r="I13" i="1"/>
  <c r="J9" i="1"/>
  <c r="AK7" i="1" s="1"/>
  <c r="I100" i="1"/>
  <c r="I10" i="1"/>
  <c r="AA10" i="1" s="1"/>
  <c r="AC10" i="1" s="1"/>
  <c r="I14" i="1"/>
  <c r="I12" i="1"/>
  <c r="AK14" i="1"/>
  <c r="X26" i="1"/>
  <c r="Z26" i="1" s="1"/>
  <c r="W26" i="1"/>
  <c r="AA26" i="1" s="1"/>
  <c r="W50" i="1"/>
  <c r="X50" i="1"/>
  <c r="Z50" i="1" s="1"/>
  <c r="W51" i="1"/>
  <c r="X51" i="1"/>
  <c r="Z51" i="1" s="1"/>
  <c r="W100" i="1"/>
  <c r="Y100" i="1" s="1"/>
  <c r="H100" i="1"/>
  <c r="J100" i="1"/>
  <c r="L100" i="1"/>
  <c r="N100" i="1"/>
  <c r="P100" i="1"/>
  <c r="N90" i="1"/>
  <c r="L90" i="1"/>
  <c r="P62" i="1"/>
  <c r="N62" i="1"/>
  <c r="L62" i="1"/>
  <c r="H62" i="1"/>
  <c r="P41" i="1"/>
  <c r="N41" i="1"/>
  <c r="L41" i="1"/>
  <c r="J41" i="1"/>
  <c r="H41" i="1"/>
  <c r="X10" i="1"/>
  <c r="Z10" i="1" s="1"/>
  <c r="AB91" i="1"/>
  <c r="AD91" i="1" s="1"/>
  <c r="AB42" i="1"/>
  <c r="AD42" i="1" s="1"/>
  <c r="AB54" i="1"/>
  <c r="AB78" i="1"/>
  <c r="AB81" i="1"/>
  <c r="AB83" i="1"/>
  <c r="H16" i="1"/>
  <c r="H14" i="1" s="1"/>
  <c r="H9" i="1" s="1"/>
  <c r="N9" i="1"/>
  <c r="P12" i="1"/>
  <c r="P11" i="1"/>
  <c r="P92" i="1"/>
  <c r="P14" i="1"/>
  <c r="P13" i="1"/>
  <c r="O13" i="1"/>
  <c r="P9" i="1" l="1"/>
  <c r="AB26" i="1"/>
  <c r="AD26" i="1" s="1"/>
  <c r="AL14" i="1"/>
  <c r="AB10" i="1"/>
  <c r="AD10" i="1" s="1"/>
  <c r="Y26" i="1"/>
  <c r="AC26" i="1" s="1"/>
  <c r="AA100" i="1"/>
  <c r="AC100" i="1" s="1"/>
  <c r="P90" i="1"/>
  <c r="P105" i="1" s="1"/>
  <c r="X92" i="1"/>
  <c r="N105" i="1"/>
  <c r="Y51" i="1"/>
  <c r="AA51" i="1"/>
  <c r="Y50" i="1"/>
  <c r="AA50" i="1"/>
  <c r="L105" i="1"/>
  <c r="L110" i="1" s="1"/>
  <c r="O94" i="1"/>
  <c r="O103" i="1"/>
  <c r="AC50" i="1" l="1"/>
  <c r="AC51" i="1"/>
  <c r="Z92" i="1"/>
  <c r="X90" i="1"/>
  <c r="Z90" i="1" s="1"/>
  <c r="J99" i="1"/>
  <c r="J98" i="1"/>
  <c r="J103" i="1"/>
  <c r="J84" i="1"/>
  <c r="J82" i="1"/>
  <c r="J80" i="1"/>
  <c r="J79" i="1"/>
  <c r="W11" i="1"/>
  <c r="X11" i="1"/>
  <c r="W12" i="1"/>
  <c r="X12" i="1"/>
  <c r="W13" i="1"/>
  <c r="X13" i="1"/>
  <c r="W14" i="1"/>
  <c r="X14" i="1"/>
  <c r="J76" i="1"/>
  <c r="Y13" i="1" l="1"/>
  <c r="AA13" i="1"/>
  <c r="AC13" i="1" s="1"/>
  <c r="Z14" i="1"/>
  <c r="AB14" i="1"/>
  <c r="AD14" i="1" s="1"/>
  <c r="Z12" i="1"/>
  <c r="AB12" i="1"/>
  <c r="AD12" i="1" s="1"/>
  <c r="Y12" i="1"/>
  <c r="AA12" i="1"/>
  <c r="AC12" i="1" s="1"/>
  <c r="Y11" i="1"/>
  <c r="AA11" i="1"/>
  <c r="AC11" i="1" s="1"/>
  <c r="Y14" i="1"/>
  <c r="AA14" i="1"/>
  <c r="AC14" i="1" s="1"/>
  <c r="Z13" i="1"/>
  <c r="AB13" i="1"/>
  <c r="AD13" i="1" s="1"/>
  <c r="AB11" i="1"/>
  <c r="Z11" i="1"/>
  <c r="J72" i="1"/>
  <c r="J70" i="1"/>
  <c r="J67" i="1"/>
  <c r="J65" i="1"/>
  <c r="J63" i="1" s="1"/>
  <c r="AB63" i="1" l="1"/>
  <c r="AD63" i="1" s="1"/>
  <c r="J62" i="1"/>
  <c r="J61" i="1"/>
  <c r="J57" i="1"/>
  <c r="J56" i="1"/>
  <c r="J55" i="1"/>
  <c r="J53" i="1"/>
  <c r="J51" i="1"/>
  <c r="AB51" i="1" s="1"/>
  <c r="AD51" i="1" s="1"/>
  <c r="J50" i="1"/>
  <c r="AB50" i="1" s="1"/>
  <c r="AD50" i="1" s="1"/>
  <c r="J49" i="1"/>
  <c r="J47" i="1"/>
  <c r="J46" i="1"/>
  <c r="J92" i="1"/>
  <c r="J90" i="1" l="1"/>
  <c r="AB90" i="1" s="1"/>
  <c r="AD90" i="1" s="1"/>
  <c r="AB92" i="1"/>
  <c r="AD92" i="1" s="1"/>
  <c r="J44" i="1"/>
  <c r="H68" i="4" l="1"/>
  <c r="Y67" i="4"/>
  <c r="AC67" i="4" s="1"/>
  <c r="X67" i="4"/>
  <c r="Z67" i="4" s="1"/>
  <c r="Y66" i="4"/>
  <c r="AA66" i="4" s="1"/>
  <c r="X66" i="4"/>
  <c r="Z66" i="4" s="1"/>
  <c r="Y65" i="4"/>
  <c r="AA65" i="4" s="1"/>
  <c r="X65" i="4"/>
  <c r="Z65" i="4" s="1"/>
  <c r="X64" i="4"/>
  <c r="AB64" i="4" s="1"/>
  <c r="AD64" i="4" s="1"/>
  <c r="W64" i="4"/>
  <c r="U64" i="4"/>
  <c r="S64" i="4"/>
  <c r="Q64" i="4"/>
  <c r="O64" i="4"/>
  <c r="N64" i="4"/>
  <c r="L64" i="4"/>
  <c r="J64" i="4"/>
  <c r="Y63" i="4"/>
  <c r="X63" i="4"/>
  <c r="AB63" i="4" s="1"/>
  <c r="Y62" i="4"/>
  <c r="X62" i="4"/>
  <c r="AB62" i="4" s="1"/>
  <c r="Y61" i="4"/>
  <c r="X61" i="4"/>
  <c r="AB61" i="4" s="1"/>
  <c r="Y60" i="4"/>
  <c r="AA60" i="4" s="1"/>
  <c r="X60" i="4"/>
  <c r="AB60" i="4" s="1"/>
  <c r="Y59" i="4"/>
  <c r="AA59" i="4" s="1"/>
  <c r="X59" i="4"/>
  <c r="AB59" i="4" s="1"/>
  <c r="Y58" i="4"/>
  <c r="X58" i="4"/>
  <c r="AB58" i="4" s="1"/>
  <c r="Y57" i="4"/>
  <c r="AA57" i="4" s="1"/>
  <c r="X57" i="4"/>
  <c r="Z57" i="4" s="1"/>
  <c r="X56" i="4"/>
  <c r="Z56" i="4" s="1"/>
  <c r="W56" i="4"/>
  <c r="U56" i="4"/>
  <c r="S56" i="4"/>
  <c r="Q56" i="4"/>
  <c r="O56" i="4"/>
  <c r="N56" i="4"/>
  <c r="L56" i="4"/>
  <c r="J56" i="4"/>
  <c r="Y55" i="4"/>
  <c r="X55" i="4"/>
  <c r="Z55" i="4" s="1"/>
  <c r="X54" i="4"/>
  <c r="AB54" i="4" s="1"/>
  <c r="AD54" i="4" s="1"/>
  <c r="W54" i="4"/>
  <c r="U54" i="4"/>
  <c r="O54" i="4"/>
  <c r="N54" i="4"/>
  <c r="L54" i="4"/>
  <c r="J54" i="4"/>
  <c r="AF53" i="4"/>
  <c r="Y53" i="4"/>
  <c r="AA53" i="4" s="1"/>
  <c r="X53" i="4"/>
  <c r="AB53" i="4" s="1"/>
  <c r="X52" i="4"/>
  <c r="AB52" i="4" s="1"/>
  <c r="AD52" i="4" s="1"/>
  <c r="W52" i="4"/>
  <c r="U52" i="4"/>
  <c r="S52" i="4"/>
  <c r="Q52" i="4"/>
  <c r="O52" i="4"/>
  <c r="N52" i="4"/>
  <c r="L52" i="4"/>
  <c r="J52" i="4"/>
  <c r="X51" i="4"/>
  <c r="Z51" i="4" s="1"/>
  <c r="X50" i="4"/>
  <c r="AB50" i="4" s="1"/>
  <c r="S50" i="4"/>
  <c r="S51" i="4" s="1"/>
  <c r="Y51" i="4" s="1"/>
  <c r="AA51" i="4" s="1"/>
  <c r="X49" i="4"/>
  <c r="AB49" i="4" s="1"/>
  <c r="AD49" i="4" s="1"/>
  <c r="W49" i="4"/>
  <c r="U49" i="4"/>
  <c r="Q49" i="4"/>
  <c r="O49" i="4"/>
  <c r="N49" i="4"/>
  <c r="L49" i="4"/>
  <c r="J49" i="4"/>
  <c r="X48" i="4"/>
  <c r="AB48" i="4" s="1"/>
  <c r="Q48" i="4"/>
  <c r="Y48" i="4" s="1"/>
  <c r="X47" i="4"/>
  <c r="AB47" i="4" s="1"/>
  <c r="AD47" i="4" s="1"/>
  <c r="W47" i="4"/>
  <c r="U47" i="4"/>
  <c r="O47" i="4"/>
  <c r="N47" i="4"/>
  <c r="L47" i="4"/>
  <c r="J47" i="4"/>
  <c r="AE46" i="4"/>
  <c r="AB46" i="4"/>
  <c r="Z46" i="4"/>
  <c r="Y46" i="4"/>
  <c r="AA46" i="4" s="1"/>
  <c r="W45" i="4"/>
  <c r="V45" i="4"/>
  <c r="U45" i="4"/>
  <c r="T45" i="4"/>
  <c r="S45" i="4"/>
  <c r="R45" i="4"/>
  <c r="Q45" i="4"/>
  <c r="Y45" i="4" s="1"/>
  <c r="AC45" i="4" s="1"/>
  <c r="P45" i="4"/>
  <c r="O45" i="4"/>
  <c r="N45" i="4"/>
  <c r="L45" i="4"/>
  <c r="AB44" i="4"/>
  <c r="Z44" i="4"/>
  <c r="Y44" i="4"/>
  <c r="AA44" i="4" s="1"/>
  <c r="AE43" i="4"/>
  <c r="Y43" i="4"/>
  <c r="X43" i="4"/>
  <c r="AB43" i="4" s="1"/>
  <c r="AE42" i="4"/>
  <c r="Y42" i="4"/>
  <c r="X42" i="4"/>
  <c r="Z42" i="4" s="1"/>
  <c r="AE41" i="4"/>
  <c r="Y41" i="4"/>
  <c r="AA41" i="4" s="1"/>
  <c r="X41" i="4"/>
  <c r="AB41" i="4" s="1"/>
  <c r="AE40" i="4"/>
  <c r="Y40" i="4"/>
  <c r="AA40" i="4" s="1"/>
  <c r="X40" i="4"/>
  <c r="Z40" i="4" s="1"/>
  <c r="AF39" i="4"/>
  <c r="AD39" i="4"/>
  <c r="X39" i="4"/>
  <c r="Z39" i="4" s="1"/>
  <c r="W39" i="4"/>
  <c r="W38" i="4" s="1"/>
  <c r="U39" i="4"/>
  <c r="S39" i="4"/>
  <c r="Q39" i="4"/>
  <c r="O39" i="4"/>
  <c r="O38" i="4" s="1"/>
  <c r="N39" i="4"/>
  <c r="L39" i="4"/>
  <c r="L38" i="4" s="1"/>
  <c r="J38" i="4"/>
  <c r="Y37" i="4"/>
  <c r="X37" i="4"/>
  <c r="Z37" i="4" s="1"/>
  <c r="Y36" i="4"/>
  <c r="AA36" i="4" s="1"/>
  <c r="X36" i="4"/>
  <c r="AB36" i="4" s="1"/>
  <c r="AA35" i="4"/>
  <c r="X35" i="4"/>
  <c r="Z35" i="4" s="1"/>
  <c r="X34" i="4"/>
  <c r="AB34" i="4" s="1"/>
  <c r="AD34" i="4" s="1"/>
  <c r="W34" i="4"/>
  <c r="U34" i="4"/>
  <c r="S34" i="4"/>
  <c r="Q34" i="4"/>
  <c r="O34" i="4"/>
  <c r="N34" i="4"/>
  <c r="L34" i="4"/>
  <c r="Y33" i="4"/>
  <c r="AA33" i="4" s="1"/>
  <c r="X33" i="4"/>
  <c r="Z33" i="4" s="1"/>
  <c r="Y32" i="4"/>
  <c r="AA32" i="4" s="1"/>
  <c r="X32" i="4"/>
  <c r="AB32" i="4" s="1"/>
  <c r="W31" i="4"/>
  <c r="U31" i="4"/>
  <c r="S31" i="4"/>
  <c r="R31" i="4"/>
  <c r="X31" i="4" s="1"/>
  <c r="Q31" i="4"/>
  <c r="O31" i="4"/>
  <c r="O30" i="4" s="1"/>
  <c r="N31" i="4"/>
  <c r="L31" i="4"/>
  <c r="Q30" i="4"/>
  <c r="J30" i="4"/>
  <c r="Y29" i="4"/>
  <c r="Y28" i="4" s="1"/>
  <c r="X29" i="4"/>
  <c r="AB29" i="4" s="1"/>
  <c r="W28" i="4"/>
  <c r="V28" i="4"/>
  <c r="U28" i="4"/>
  <c r="T28" i="4"/>
  <c r="S28" i="4"/>
  <c r="R28" i="4"/>
  <c r="Q28" i="4"/>
  <c r="P28" i="4"/>
  <c r="X28" i="4" s="1"/>
  <c r="O28" i="4"/>
  <c r="N28" i="4"/>
  <c r="L28" i="4"/>
  <c r="J28" i="4"/>
  <c r="Y27" i="4"/>
  <c r="X27" i="4"/>
  <c r="AB27" i="4" s="1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Y25" i="4"/>
  <c r="AA25" i="4" s="1"/>
  <c r="X25" i="4"/>
  <c r="Z25" i="4" s="1"/>
  <c r="Y24" i="4"/>
  <c r="AA24" i="4" s="1"/>
  <c r="X24" i="4"/>
  <c r="AB24" i="4" s="1"/>
  <c r="Y23" i="4"/>
  <c r="AA23" i="4" s="1"/>
  <c r="X23" i="4"/>
  <c r="AB23" i="4" s="1"/>
  <c r="Y22" i="4"/>
  <c r="X22" i="4"/>
  <c r="AB22" i="4" s="1"/>
  <c r="Y21" i="4"/>
  <c r="X21" i="4"/>
  <c r="AB21" i="4" s="1"/>
  <c r="X20" i="4"/>
  <c r="Z20" i="4" s="1"/>
  <c r="W20" i="4"/>
  <c r="U20" i="4"/>
  <c r="S20" i="4"/>
  <c r="Q20" i="4"/>
  <c r="O20" i="4"/>
  <c r="N20" i="4"/>
  <c r="L20" i="4"/>
  <c r="J20" i="4"/>
  <c r="Y19" i="4"/>
  <c r="AA19" i="4" s="1"/>
  <c r="X19" i="4"/>
  <c r="AB19" i="4" s="1"/>
  <c r="Y18" i="4"/>
  <c r="AA18" i="4" s="1"/>
  <c r="X18" i="4"/>
  <c r="AB18" i="4" s="1"/>
  <c r="Y17" i="4"/>
  <c r="AA17" i="4" s="1"/>
  <c r="X17" i="4"/>
  <c r="Z17" i="4" s="1"/>
  <c r="Y16" i="4"/>
  <c r="AA16" i="4" s="1"/>
  <c r="X16" i="4"/>
  <c r="AB16" i="4" s="1"/>
  <c r="Y15" i="4"/>
  <c r="AA15" i="4" s="1"/>
  <c r="X15" i="4"/>
  <c r="AB15" i="4" s="1"/>
  <c r="Y14" i="4"/>
  <c r="AA14" i="4" s="1"/>
  <c r="X14" i="4"/>
  <c r="AB14" i="4" s="1"/>
  <c r="Y13" i="4"/>
  <c r="AA13" i="4" s="1"/>
  <c r="X13" i="4"/>
  <c r="Z13" i="4" s="1"/>
  <c r="X12" i="4"/>
  <c r="Z12" i="4" s="1"/>
  <c r="W12" i="4"/>
  <c r="U12" i="4"/>
  <c r="S12" i="4"/>
  <c r="Q12" i="4"/>
  <c r="O12" i="4"/>
  <c r="N12" i="4"/>
  <c r="L12" i="4"/>
  <c r="J12" i="4"/>
  <c r="Y12" i="4" l="1"/>
  <c r="N38" i="4"/>
  <c r="U30" i="4"/>
  <c r="W30" i="4"/>
  <c r="W68" i="4" s="1"/>
  <c r="S30" i="4"/>
  <c r="Y49" i="4"/>
  <c r="AC49" i="4" s="1"/>
  <c r="AE49" i="4" s="1"/>
  <c r="Z52" i="4"/>
  <c r="Z14" i="4"/>
  <c r="Z18" i="4"/>
  <c r="Z24" i="4"/>
  <c r="Z32" i="4"/>
  <c r="Z36" i="4"/>
  <c r="Y50" i="4"/>
  <c r="AB55" i="4"/>
  <c r="Z15" i="4"/>
  <c r="Z19" i="4"/>
  <c r="Z23" i="4"/>
  <c r="N30" i="4"/>
  <c r="N68" i="4" s="1"/>
  <c r="L30" i="4"/>
  <c r="Y34" i="4"/>
  <c r="AA34" i="4" s="1"/>
  <c r="Z34" i="4"/>
  <c r="Y39" i="4"/>
  <c r="AA39" i="4" s="1"/>
  <c r="U38" i="4"/>
  <c r="AC54" i="4"/>
  <c r="AE54" i="4" s="1"/>
  <c r="Y54" i="4"/>
  <c r="AA49" i="4"/>
  <c r="Z49" i="4"/>
  <c r="Z54" i="4"/>
  <c r="Y20" i="4"/>
  <c r="AA20" i="4" s="1"/>
  <c r="O68" i="4"/>
  <c r="X26" i="4"/>
  <c r="AB26" i="4" s="1"/>
  <c r="AD26" i="4" s="1"/>
  <c r="Z29" i="4"/>
  <c r="Q38" i="4"/>
  <c r="Z41" i="4"/>
  <c r="AB42" i="4"/>
  <c r="Z43" i="4"/>
  <c r="S38" i="4"/>
  <c r="S68" i="4" s="1"/>
  <c r="Z59" i="4"/>
  <c r="Z60" i="4"/>
  <c r="AA67" i="4"/>
  <c r="L68" i="4"/>
  <c r="Y26" i="4"/>
  <c r="AC26" i="4" s="1"/>
  <c r="AE26" i="4" s="1"/>
  <c r="X45" i="4"/>
  <c r="Z45" i="4" s="1"/>
  <c r="Y47" i="4"/>
  <c r="AC47" i="4" s="1"/>
  <c r="AE47" i="4" s="1"/>
  <c r="Y52" i="4"/>
  <c r="AA52" i="4" s="1"/>
  <c r="Z53" i="4"/>
  <c r="Z58" i="4"/>
  <c r="J68" i="4"/>
  <c r="AB31" i="4"/>
  <c r="AD31" i="4" s="1"/>
  <c r="Z31" i="4"/>
  <c r="Z30" i="4" s="1"/>
  <c r="AB45" i="4"/>
  <c r="U68" i="4"/>
  <c r="AC12" i="4"/>
  <c r="AE12" i="4" s="1"/>
  <c r="AA12" i="4"/>
  <c r="AC28" i="4"/>
  <c r="AE28" i="4" s="1"/>
  <c r="AB28" i="4"/>
  <c r="AD28" i="4" s="1"/>
  <c r="Z28" i="4"/>
  <c r="AC34" i="4"/>
  <c r="AB20" i="4"/>
  <c r="AD20" i="4" s="1"/>
  <c r="AB25" i="4"/>
  <c r="AB12" i="4"/>
  <c r="AD12" i="4" s="1"/>
  <c r="AB13" i="4"/>
  <c r="AB17" i="4"/>
  <c r="Y31" i="4"/>
  <c r="AB35" i="4"/>
  <c r="AB40" i="4"/>
  <c r="AB51" i="4"/>
  <c r="AB56" i="4"/>
  <c r="AD56" i="4" s="1"/>
  <c r="AB57" i="4"/>
  <c r="Y64" i="4"/>
  <c r="AC64" i="4" s="1"/>
  <c r="AE64" i="4" s="1"/>
  <c r="AB67" i="4"/>
  <c r="AD67" i="4" s="1"/>
  <c r="Z16" i="4"/>
  <c r="Z47" i="4"/>
  <c r="Z48" i="4"/>
  <c r="Z50" i="4"/>
  <c r="Y56" i="4"/>
  <c r="Z61" i="4"/>
  <c r="Z62" i="4"/>
  <c r="Z63" i="4"/>
  <c r="Z64" i="4"/>
  <c r="Y30" i="4" l="1"/>
  <c r="AC39" i="4"/>
  <c r="AK10" i="12"/>
  <c r="AK10" i="14"/>
  <c r="AA45" i="4"/>
  <c r="AD45" i="4" s="1"/>
  <c r="Z38" i="4"/>
  <c r="AJ15" i="1"/>
  <c r="AC20" i="4"/>
  <c r="AE20" i="4" s="1"/>
  <c r="AJ10" i="5"/>
  <c r="AC52" i="4"/>
  <c r="AE52" i="4" s="1"/>
  <c r="Y38" i="4"/>
  <c r="Q68" i="4"/>
  <c r="Q92" i="4" s="1"/>
  <c r="AA56" i="4"/>
  <c r="AC56" i="4"/>
  <c r="AE56" i="4" s="1"/>
  <c r="AA31" i="4"/>
  <c r="AC31" i="4"/>
  <c r="AC30" i="4"/>
  <c r="AE30" i="4" s="1"/>
  <c r="AA30" i="4"/>
  <c r="AA64" i="4"/>
  <c r="Y68" i="4"/>
  <c r="AI64" i="4" l="1"/>
  <c r="AA38" i="4"/>
  <c r="AC38" i="4"/>
  <c r="AE38" i="4" s="1"/>
  <c r="X69" i="4"/>
  <c r="AC68" i="4"/>
  <c r="L108" i="1" l="1"/>
  <c r="W16" i="1" l="1"/>
  <c r="X16" i="1"/>
  <c r="W17" i="1"/>
  <c r="X17" i="1"/>
  <c r="W19" i="1"/>
  <c r="X19" i="1"/>
  <c r="W21" i="1"/>
  <c r="X21" i="1"/>
  <c r="W23" i="1"/>
  <c r="X23" i="1"/>
  <c r="W25" i="1"/>
  <c r="X25" i="1"/>
  <c r="W27" i="1"/>
  <c r="X27" i="1"/>
  <c r="W28" i="1"/>
  <c r="X28" i="1"/>
  <c r="W29" i="1"/>
  <c r="X29" i="1"/>
  <c r="W31" i="1"/>
  <c r="X31" i="1"/>
  <c r="W32" i="1"/>
  <c r="X32" i="1"/>
  <c r="W33" i="1"/>
  <c r="X33" i="1"/>
  <c r="W35" i="1"/>
  <c r="X35" i="1"/>
  <c r="W36" i="1"/>
  <c r="X36" i="1"/>
  <c r="W38" i="1"/>
  <c r="X38" i="1"/>
  <c r="W39" i="1"/>
  <c r="X39" i="1"/>
  <c r="W40" i="1"/>
  <c r="X40" i="1"/>
  <c r="W41" i="1"/>
  <c r="X41" i="1"/>
  <c r="W44" i="1"/>
  <c r="X44" i="1"/>
  <c r="W46" i="1"/>
  <c r="X46" i="1"/>
  <c r="W47" i="1"/>
  <c r="X47" i="1"/>
  <c r="W49" i="1"/>
  <c r="X49" i="1"/>
  <c r="W53" i="1"/>
  <c r="X53" i="1"/>
  <c r="W55" i="1"/>
  <c r="X55" i="1"/>
  <c r="W56" i="1"/>
  <c r="X56" i="1"/>
  <c r="W57" i="1"/>
  <c r="X57" i="1"/>
  <c r="W58" i="1"/>
  <c r="X58" i="1"/>
  <c r="W59" i="1"/>
  <c r="X59" i="1"/>
  <c r="W60" i="1"/>
  <c r="X60" i="1"/>
  <c r="W61" i="1"/>
  <c r="X61" i="1"/>
  <c r="W62" i="1"/>
  <c r="X62" i="1"/>
  <c r="W65" i="1"/>
  <c r="X65" i="1"/>
  <c r="W67" i="1"/>
  <c r="X67" i="1"/>
  <c r="W68" i="1"/>
  <c r="X68" i="1"/>
  <c r="W69" i="1"/>
  <c r="X69" i="1"/>
  <c r="W70" i="1"/>
  <c r="X70" i="1"/>
  <c r="W71" i="1"/>
  <c r="X71" i="1"/>
  <c r="W72" i="1"/>
  <c r="X72" i="1"/>
  <c r="W73" i="1"/>
  <c r="X73" i="1"/>
  <c r="W74" i="1"/>
  <c r="X74" i="1"/>
  <c r="W76" i="1"/>
  <c r="X76" i="1"/>
  <c r="W77" i="1"/>
  <c r="X77" i="1"/>
  <c r="W79" i="1"/>
  <c r="X79" i="1"/>
  <c r="W80" i="1"/>
  <c r="X80" i="1"/>
  <c r="W84" i="1"/>
  <c r="X84" i="1"/>
  <c r="W82" i="1"/>
  <c r="X82" i="1"/>
  <c r="W85" i="1"/>
  <c r="X85" i="1"/>
  <c r="W86" i="1"/>
  <c r="X86" i="1"/>
  <c r="W87" i="1"/>
  <c r="X87" i="1"/>
  <c r="W88" i="1"/>
  <c r="X88" i="1"/>
  <c r="W89" i="1"/>
  <c r="X89" i="1"/>
  <c r="W94" i="1"/>
  <c r="X94" i="1"/>
  <c r="W95" i="1"/>
  <c r="X95" i="1"/>
  <c r="W96" i="1"/>
  <c r="X96" i="1"/>
  <c r="W98" i="1"/>
  <c r="X98" i="1"/>
  <c r="W99" i="1"/>
  <c r="X99" i="1"/>
  <c r="W103" i="1"/>
  <c r="X103" i="1"/>
  <c r="X9" i="1"/>
  <c r="W9" i="1"/>
  <c r="Y9" i="1" l="1"/>
  <c r="AA9" i="1"/>
  <c r="AC9" i="1" s="1"/>
  <c r="Z94" i="1"/>
  <c r="AB94" i="1"/>
  <c r="Z82" i="1"/>
  <c r="AB82" i="1"/>
  <c r="Z70" i="1"/>
  <c r="AB70" i="1"/>
  <c r="AD70" i="1" s="1"/>
  <c r="Z61" i="1"/>
  <c r="AB61" i="1"/>
  <c r="Z55" i="1"/>
  <c r="AB55" i="1"/>
  <c r="Z46" i="1"/>
  <c r="AB46" i="1"/>
  <c r="Z39" i="1"/>
  <c r="AB39" i="1"/>
  <c r="Z33" i="1"/>
  <c r="AB33" i="1"/>
  <c r="Z28" i="1"/>
  <c r="AB28" i="1"/>
  <c r="Z17" i="1"/>
  <c r="AB17" i="1"/>
  <c r="Y96" i="1"/>
  <c r="AA96" i="1"/>
  <c r="Y88" i="1"/>
  <c r="AA88" i="1"/>
  <c r="Y86" i="1"/>
  <c r="AA86" i="1"/>
  <c r="Y82" i="1"/>
  <c r="AA82" i="1"/>
  <c r="Y80" i="1"/>
  <c r="AA80" i="1"/>
  <c r="Y77" i="1"/>
  <c r="AA77" i="1"/>
  <c r="AC77" i="1" s="1"/>
  <c r="Y74" i="1"/>
  <c r="AA74" i="1"/>
  <c r="AC74" i="1" s="1"/>
  <c r="Y72" i="1"/>
  <c r="AA72" i="1"/>
  <c r="AC72" i="1" s="1"/>
  <c r="Y70" i="1"/>
  <c r="AA70" i="1"/>
  <c r="AC70" i="1" s="1"/>
  <c r="Y68" i="1"/>
  <c r="AA68" i="1"/>
  <c r="AC68" i="1" s="1"/>
  <c r="Y65" i="1"/>
  <c r="AA65" i="1"/>
  <c r="Y61" i="1"/>
  <c r="AA61" i="1"/>
  <c r="Y59" i="1"/>
  <c r="AA59" i="1"/>
  <c r="Y57" i="1"/>
  <c r="AA57" i="1"/>
  <c r="Y55" i="1"/>
  <c r="AA55" i="1"/>
  <c r="Y49" i="1"/>
  <c r="AA49" i="1"/>
  <c r="Y46" i="1"/>
  <c r="AA46" i="1"/>
  <c r="Y41" i="1"/>
  <c r="AA41" i="1"/>
  <c r="Y39" i="1"/>
  <c r="AA39" i="1"/>
  <c r="Y36" i="1"/>
  <c r="AA36" i="1"/>
  <c r="Y33" i="1"/>
  <c r="AA33" i="1"/>
  <c r="Y31" i="1"/>
  <c r="AA31" i="1"/>
  <c r="AC31" i="1" s="1"/>
  <c r="Y28" i="1"/>
  <c r="AA28" i="1"/>
  <c r="Y25" i="1"/>
  <c r="AA25" i="1"/>
  <c r="Y21" i="1"/>
  <c r="AA21" i="1"/>
  <c r="Y17" i="1"/>
  <c r="AA17" i="1"/>
  <c r="Z86" i="1"/>
  <c r="AB86" i="1"/>
  <c r="Z77" i="1"/>
  <c r="AB77" i="1"/>
  <c r="AD77" i="1" s="1"/>
  <c r="Z72" i="1"/>
  <c r="AB72" i="1"/>
  <c r="AD72" i="1" s="1"/>
  <c r="Z65" i="1"/>
  <c r="AB65" i="1"/>
  <c r="Z57" i="1"/>
  <c r="AB57" i="1"/>
  <c r="Z49" i="1"/>
  <c r="AB49" i="1"/>
  <c r="Z36" i="1"/>
  <c r="AB36" i="1"/>
  <c r="Z31" i="1"/>
  <c r="AB31" i="1"/>
  <c r="Z21" i="1"/>
  <c r="AB21" i="1"/>
  <c r="Y94" i="1"/>
  <c r="AA94" i="1"/>
  <c r="Z103" i="1"/>
  <c r="X101" i="1"/>
  <c r="AB103" i="1"/>
  <c r="Z89" i="1"/>
  <c r="AB89" i="1"/>
  <c r="Z87" i="1"/>
  <c r="AD87" i="1" s="1"/>
  <c r="AB87" i="1"/>
  <c r="Z85" i="1"/>
  <c r="AD85" i="1" s="1"/>
  <c r="AB85" i="1"/>
  <c r="Z79" i="1"/>
  <c r="AD79" i="1" s="1"/>
  <c r="AB79" i="1"/>
  <c r="Z73" i="1"/>
  <c r="AB73" i="1"/>
  <c r="AD73" i="1" s="1"/>
  <c r="Z69" i="1"/>
  <c r="AB69" i="1"/>
  <c r="AD69" i="1" s="1"/>
  <c r="Z67" i="1"/>
  <c r="AB67" i="1"/>
  <c r="AD67" i="1" s="1"/>
  <c r="Z60" i="1"/>
  <c r="AD60" i="1" s="1"/>
  <c r="AB60" i="1"/>
  <c r="Z58" i="1"/>
  <c r="AD58" i="1" s="1"/>
  <c r="AB58" i="1"/>
  <c r="Z56" i="1"/>
  <c r="AD56" i="1" s="1"/>
  <c r="AB56" i="1"/>
  <c r="Z53" i="1"/>
  <c r="AD53" i="1" s="1"/>
  <c r="AB53" i="1"/>
  <c r="Z47" i="1"/>
  <c r="AD47" i="1" s="1"/>
  <c r="AB47" i="1"/>
  <c r="Z44" i="1"/>
  <c r="AD44" i="1" s="1"/>
  <c r="AB44" i="1"/>
  <c r="Z40" i="1"/>
  <c r="AD40" i="1" s="1"/>
  <c r="AB40" i="1"/>
  <c r="Z38" i="1"/>
  <c r="AD38" i="1" s="1"/>
  <c r="AB38" i="1"/>
  <c r="Z35" i="1"/>
  <c r="AD35" i="1" s="1"/>
  <c r="AB35" i="1"/>
  <c r="Z32" i="1"/>
  <c r="AD32" i="1" s="1"/>
  <c r="AB32" i="1"/>
  <c r="Z29" i="1"/>
  <c r="AD29" i="1" s="1"/>
  <c r="AB29" i="1"/>
  <c r="Z27" i="1"/>
  <c r="AD27" i="1" s="1"/>
  <c r="AB27" i="1"/>
  <c r="Z23" i="1"/>
  <c r="AD23" i="1" s="1"/>
  <c r="AB23" i="1"/>
  <c r="Z19" i="1"/>
  <c r="AB19" i="1"/>
  <c r="AD19" i="1" s="1"/>
  <c r="Z16" i="1"/>
  <c r="AB16" i="1"/>
  <c r="AD16" i="1" s="1"/>
  <c r="Z96" i="1"/>
  <c r="AD96" i="1" s="1"/>
  <c r="AB96" i="1"/>
  <c r="Z88" i="1"/>
  <c r="AD88" i="1" s="1"/>
  <c r="AB88" i="1"/>
  <c r="Z80" i="1"/>
  <c r="AD80" i="1" s="1"/>
  <c r="AB80" i="1"/>
  <c r="Z74" i="1"/>
  <c r="AB74" i="1"/>
  <c r="AD74" i="1" s="1"/>
  <c r="Z68" i="1"/>
  <c r="AB68" i="1"/>
  <c r="AD68" i="1" s="1"/>
  <c r="Z59" i="1"/>
  <c r="AD59" i="1" s="1"/>
  <c r="AB59" i="1"/>
  <c r="Z25" i="1"/>
  <c r="AD25" i="1" s="1"/>
  <c r="AB25" i="1"/>
  <c r="Z9" i="1"/>
  <c r="AD9" i="1" s="1"/>
  <c r="AB9" i="1"/>
  <c r="Y99" i="1"/>
  <c r="AA99" i="1"/>
  <c r="Z98" i="1"/>
  <c r="AB98" i="1"/>
  <c r="Z95" i="1"/>
  <c r="AB95" i="1"/>
  <c r="Z84" i="1"/>
  <c r="AB84" i="1"/>
  <c r="Z76" i="1"/>
  <c r="AB76" i="1"/>
  <c r="Z71" i="1"/>
  <c r="AB71" i="1"/>
  <c r="AD71" i="1" s="1"/>
  <c r="Y103" i="1"/>
  <c r="W101" i="1"/>
  <c r="AA103" i="1"/>
  <c r="Y98" i="1"/>
  <c r="AA98" i="1"/>
  <c r="Y95" i="1"/>
  <c r="AA95" i="1"/>
  <c r="Y89" i="1"/>
  <c r="AA89" i="1"/>
  <c r="Y87" i="1"/>
  <c r="AA87" i="1"/>
  <c r="Y85" i="1"/>
  <c r="AA85" i="1"/>
  <c r="Y84" i="1"/>
  <c r="AA84" i="1"/>
  <c r="Y79" i="1"/>
  <c r="AA79" i="1"/>
  <c r="Y76" i="1"/>
  <c r="AA76" i="1"/>
  <c r="Y73" i="1"/>
  <c r="AA73" i="1"/>
  <c r="AC73" i="1" s="1"/>
  <c r="Y71" i="1"/>
  <c r="AA71" i="1"/>
  <c r="AC71" i="1" s="1"/>
  <c r="Y69" i="1"/>
  <c r="AA69" i="1"/>
  <c r="AC69" i="1" s="1"/>
  <c r="Y67" i="1"/>
  <c r="AA67" i="1"/>
  <c r="AC67" i="1" s="1"/>
  <c r="Y62" i="1"/>
  <c r="AA62" i="1"/>
  <c r="Y60" i="1"/>
  <c r="AA60" i="1"/>
  <c r="Y58" i="1"/>
  <c r="AA58" i="1"/>
  <c r="Y56" i="1"/>
  <c r="AA56" i="1"/>
  <c r="Y53" i="1"/>
  <c r="AA53" i="1"/>
  <c r="Y47" i="1"/>
  <c r="AA47" i="1"/>
  <c r="Y44" i="1"/>
  <c r="AA44" i="1"/>
  <c r="Y40" i="1"/>
  <c r="AA40" i="1"/>
  <c r="Y38" i="1"/>
  <c r="AA38" i="1"/>
  <c r="Y35" i="1"/>
  <c r="AA35" i="1"/>
  <c r="Y32" i="1"/>
  <c r="AA32" i="1"/>
  <c r="Y29" i="1"/>
  <c r="AA29" i="1"/>
  <c r="Y27" i="1"/>
  <c r="AA27" i="1"/>
  <c r="Y23" i="1"/>
  <c r="AA23" i="1"/>
  <c r="Y19" i="1"/>
  <c r="AA19" i="1"/>
  <c r="AC19" i="1" s="1"/>
  <c r="Y16" i="1"/>
  <c r="AA16" i="1"/>
  <c r="AC16" i="1" s="1"/>
  <c r="Z99" i="1"/>
  <c r="AB99" i="1"/>
  <c r="Z62" i="1"/>
  <c r="AB62" i="1"/>
  <c r="Z41" i="1"/>
  <c r="AB41" i="1"/>
  <c r="AC23" i="1" l="1"/>
  <c r="AC27" i="1"/>
  <c r="AC29" i="1"/>
  <c r="AC32" i="1"/>
  <c r="AC35" i="1"/>
  <c r="AC38" i="1"/>
  <c r="AC40" i="1"/>
  <c r="AC44" i="1"/>
  <c r="AC47" i="1"/>
  <c r="AC53" i="1"/>
  <c r="AC56" i="1"/>
  <c r="AC58" i="1"/>
  <c r="AC60" i="1"/>
  <c r="AC62" i="1"/>
  <c r="AC76" i="1"/>
  <c r="AC79" i="1"/>
  <c r="AC84" i="1"/>
  <c r="AC85" i="1"/>
  <c r="AC87" i="1"/>
  <c r="AC89" i="1"/>
  <c r="AC95" i="1"/>
  <c r="AC98" i="1"/>
  <c r="AC94" i="1"/>
  <c r="AD31" i="1"/>
  <c r="AD49" i="1"/>
  <c r="AD65" i="1"/>
  <c r="AC17" i="1"/>
  <c r="AC25" i="1"/>
  <c r="AC36" i="1"/>
  <c r="AC41" i="1"/>
  <c r="AC49" i="1"/>
  <c r="AC57" i="1"/>
  <c r="AC61" i="1"/>
  <c r="AC82" i="1"/>
  <c r="AC88" i="1"/>
  <c r="AD17" i="1"/>
  <c r="AD33" i="1"/>
  <c r="AD46" i="1"/>
  <c r="AD61" i="1"/>
  <c r="AD82" i="1"/>
  <c r="AC103" i="1"/>
  <c r="AD76" i="1"/>
  <c r="AD95" i="1"/>
  <c r="AC99" i="1"/>
  <c r="AD103" i="1"/>
  <c r="Z101" i="1"/>
  <c r="Z100" i="1" s="1"/>
  <c r="AD21" i="1"/>
  <c r="AD36" i="1"/>
  <c r="AD57" i="1"/>
  <c r="AD86" i="1"/>
  <c r="AC21" i="1"/>
  <c r="AC28" i="1"/>
  <c r="AC33" i="1"/>
  <c r="AC46" i="1"/>
  <c r="AC55" i="1"/>
  <c r="AC59" i="1"/>
  <c r="AC65" i="1"/>
  <c r="AC80" i="1"/>
  <c r="AC86" i="1"/>
  <c r="AC96" i="1"/>
  <c r="AD28" i="1"/>
  <c r="AD39" i="1"/>
  <c r="AD55" i="1"/>
  <c r="AD94" i="1"/>
  <c r="Y101" i="1"/>
  <c r="AA101" i="1"/>
  <c r="AC101" i="1" s="1"/>
  <c r="AD89" i="1"/>
  <c r="X100" i="1"/>
  <c r="X105" i="1" s="1"/>
  <c r="AB101" i="1"/>
  <c r="AD84" i="1"/>
  <c r="AD98" i="1"/>
  <c r="AD99" i="1"/>
  <c r="AD62" i="1"/>
  <c r="AD41" i="1"/>
  <c r="AB100" i="1" l="1"/>
  <c r="AD100" i="1" s="1"/>
  <c r="AD101" i="1"/>
  <c r="AI9" i="14"/>
  <c r="AI9" i="12"/>
  <c r="AJ9" i="5"/>
  <c r="AM9" i="14"/>
  <c r="AL9" i="14"/>
  <c r="AH9" i="14"/>
  <c r="AH9" i="5"/>
  <c r="AK9" i="14"/>
  <c r="AM9" i="12"/>
  <c r="AL9" i="12"/>
  <c r="AH9" i="12"/>
  <c r="AL9" i="5"/>
  <c r="AK9" i="5"/>
  <c r="AG9" i="5"/>
  <c r="AK9" i="12"/>
  <c r="AJ9" i="14"/>
  <c r="AJ9" i="12"/>
  <c r="AI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Cfm Renstra
PD dan kelengkapannya (tersedianya PDH) - 235 / 112,500
pakaian Khusus (tersedianya pakaian khusus hari-hari tertentu) - 285 / 109,000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17: -
18: 1 keg
19: 110 org
20: 0</t>
        </r>
      </text>
    </comment>
    <comment ref="I4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17: kecamatan
18: kegiatan
19-20: orang</t>
        </r>
      </text>
    </comment>
    <comment ref="I5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18: keg
19: org</t>
        </r>
      </text>
    </comment>
    <comment ref="I5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17-19: kegiatan
20: org
</t>
        </r>
      </text>
    </comment>
    <comment ref="E5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Cfm Renstra:
Fasilitasi Rapat kerja Karang Taruna (terlaksananya rapat kerja karang taruna): 2022 - 1 keg / 50,000</t>
        </r>
      </text>
    </comment>
    <comment ref="I6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17-19: kegiatan
20: kasus
</t>
        </r>
      </text>
    </comment>
    <comment ref="I7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17: bln
18-20: org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I7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17: bln
18-20: org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I7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17: bln
18-20: org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P6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+3 anak dr MAL</t>
        </r>
      </text>
    </comment>
    <comment ref="I73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17: bln
18-20: org</t>
        </r>
      </text>
    </comment>
    <comment ref="K8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 xml:space="preserve">Terbinanya KUBE penerima APBN 50 org
</t>
        </r>
      </text>
    </comment>
  </commentList>
</comments>
</file>

<file path=xl/sharedStrings.xml><?xml version="1.0" encoding="utf-8"?>
<sst xmlns="http://schemas.openxmlformats.org/spreadsheetml/2006/main" count="1872" uniqueCount="565">
  <si>
    <t>No</t>
  </si>
  <si>
    <t>Satuan</t>
  </si>
  <si>
    <t>Target Renstra PD pada Tahun 2017 s/d 2022 (periode renstra PD)</t>
  </si>
  <si>
    <t>Unit SKPD Penanggung Jawab</t>
  </si>
  <si>
    <t>I</t>
  </si>
  <si>
    <t>II</t>
  </si>
  <si>
    <t>III</t>
  </si>
  <si>
    <t>IV</t>
  </si>
  <si>
    <t>K</t>
  </si>
  <si>
    <t>Rp (Ribu)</t>
  </si>
  <si>
    <t>Rp (Ribu)
Renja</t>
  </si>
  <si>
    <t>Rp (Ribu)
APBD</t>
  </si>
  <si>
    <t>Target Kinerja Renja PD Tahun Berjalan (Tahun 2021) yang dievaluasi sesuai Permendagri 090</t>
  </si>
  <si>
    <t>Realisasi Capaian Kinerja dan Anggaran Renja PD 2021 yang dievaluasi</t>
  </si>
  <si>
    <t>Tingkat Capaian Kinerja dan Realisasi Anggaran Renja 2021 yang dievaluasi (%)</t>
  </si>
  <si>
    <t>Realisasi Kinerja Renstra PD s/d Tahun 2021</t>
  </si>
  <si>
    <t>Tingkat Capaian Kinerja Renstra PD s/d Tahun 2021</t>
  </si>
  <si>
    <t>Realisasi capaian kinerja Renstra PD sampai dengan Tahun 2020</t>
  </si>
  <si>
    <t>14=10+11+12+13</t>
  </si>
  <si>
    <t>15=14/9*100</t>
  </si>
  <si>
    <t>17=16/7*100</t>
  </si>
  <si>
    <t>Indikator Kinerja Program dan Sub Kegiatan</t>
  </si>
  <si>
    <t>Fasilitasi Manajemen Usaha Bagi Keluarga Miskin</t>
  </si>
  <si>
    <t>Pelayanan dan Perlindungan Sosial Bagi Korban Tindak Kekerasan</t>
  </si>
  <si>
    <t>Pendidikan dan Pelatihan Bagi Penyandang Cacat dan Eks Trauma</t>
  </si>
  <si>
    <t>Pendayagunaan Para Penyandang Cacat dan Eks Trauma</t>
  </si>
  <si>
    <t>Kegiatan Bantuan dan Jaminan Sosial</t>
  </si>
  <si>
    <t>Pemberdayaan Kelembagaan Kesejahteraan Sosial Komda Lansia Kabupaten Cilacap</t>
  </si>
  <si>
    <t>Pemberdayaan Lembaga Kesejahteraan Sosial Karang Taruna</t>
  </si>
  <si>
    <t>Sosialisasi Penyelenggaraan UGB dan PUB</t>
  </si>
  <si>
    <t>Program / Kegiatan RKPD Permendagri 13</t>
  </si>
  <si>
    <t>PROGRAM PEMBERDAYAAN SOSIAL</t>
  </si>
  <si>
    <t>Pengembangan Potensi Sumber Kesejahteraan Sosial Daerah Kabupaten/Kota</t>
  </si>
  <si>
    <t>Peningkatan Kemampuan Potensi Sumber Kesejahteraan Sosial Kelembagaan Masyarakat Kewenangan Kabupaten/Kota</t>
  </si>
  <si>
    <t>PROGRAM PENUNJANG URUSAN PEMERINTAHAN DAERAH KABUPATEN/KOTA</t>
  </si>
  <si>
    <t>Perencanaan, Penganggaran, dan Evaluasi Kinerja Perangkat Daerah</t>
  </si>
  <si>
    <t>Penyusunan Dokumen Perencanaan Perangkat Daerah</t>
  </si>
  <si>
    <t>Evaluasi Kinerja Perangkat Daerah</t>
  </si>
  <si>
    <t>Administrasi Keuangan Perangkat Daerah</t>
  </si>
  <si>
    <t>Penyediaan Gaji dan Tunjangan ASN</t>
  </si>
  <si>
    <t>Administrasi Kepegawaian Perangkat Daerah</t>
  </si>
  <si>
    <t>Pengadaan Pakaian Dinas Beserta Atribut Kelengkapannya</t>
  </si>
  <si>
    <t>Pendidikan dan Pelatihan Pegawai Berdasarkan Tugas dan Fungsi</t>
  </si>
  <si>
    <t>Administrasi Umum Perangkat Daerah</t>
  </si>
  <si>
    <t>Penyediaan Peralatan dan Perlengkapan Kantor</t>
  </si>
  <si>
    <t>Penyediaan Bahan Logistik Kantor</t>
  </si>
  <si>
    <t>Penyediaan Barang Cetakan dan Penggandaan</t>
  </si>
  <si>
    <t>Penyelenggaraan Rapat Koordinasi dan Konsultasi SKPD</t>
  </si>
  <si>
    <t>Pengadaan Barang Milik Daerah Penunjang Urusan Pemerintah Daerah</t>
  </si>
  <si>
    <t>Pengadaan Mebel</t>
  </si>
  <si>
    <t>Pengadaan Peralatan dan Mesin Lainnya</t>
  </si>
  <si>
    <t>Pengadaan Sarana dan Prasarana Pendukung Gedung Kantor atau Bangunan Lainnya</t>
  </si>
  <si>
    <t>Penyediaan Jasa Penunjang Urusan Pemerintahan Daerah</t>
  </si>
  <si>
    <t>Penyediaan Jasa Komunikasi, Sumber Daya Air dan Listrik</t>
  </si>
  <si>
    <t>Penyediaan Jasa Pelayanan Umum Kantor</t>
  </si>
  <si>
    <t>Pemeliharaan Barang Milik Daerah Penunjang Urusan Pemerintahan Daerah</t>
  </si>
  <si>
    <t>Penyediaan Jasa Pemeliharaan, Biaya Pemeliharaan dan Pajak Kendaraan Perorangan Dinas atau Kendaraan Dinas Jabatan</t>
  </si>
  <si>
    <t>Pemeliharaan/Rehabilitasi Gedung Kantor dan Bangunan Lainnya</t>
  </si>
  <si>
    <t>Pemeliharaan/Rehabilitasi Sarana dan Prasarana Pendukung Gedung Kantor atau Bangunan Lainnya</t>
  </si>
  <si>
    <t>Pengumpulan Sumbangan dalam Daerah Kabupaten/Kota</t>
  </si>
  <si>
    <t>Koordinasi dan Sinkronisasi Penerbitan Izin Undian Gratis Berhadiah dan Pengumpulan Uang atau Barang</t>
  </si>
  <si>
    <t>Peningkatan Kemampuan Potensi Pekerja Sosial Masyarakat Kewenangan Kabupaten/Kota</t>
  </si>
  <si>
    <t>Peningkatan Kemampuan Potensi Tenaga Kesejahteraan Sosial Kecamatan Kewenangan Kabupaten/Kota</t>
  </si>
  <si>
    <t>Peningkatan Kemampuan Potensi Sumber Kesejahteraan Sosial Keluarga Kewenangan Kabupaten/Kota</t>
  </si>
  <si>
    <t>Peningkatan Kemampuan Sumber Daya Manusia dan Penguatan Lembaga Konsultasi Kesejahteraan Keluarga (LK3)</t>
  </si>
  <si>
    <t>PROGRAM REHABILITASI SOSIAL</t>
  </si>
  <si>
    <t>Rehabilitasi Sosial Dasar Penyandang Disabilitas Terlantar, Anak Terlantar, Lanjut Usia Terlantar, serta Gelandangan Pengemis di Luar Panti Sosial</t>
  </si>
  <si>
    <t>Penyediaan Permakanan</t>
  </si>
  <si>
    <t>Penyediaan Alat Bantu</t>
  </si>
  <si>
    <t>Pemberian Pelayanan Reunifikasi Keluarga</t>
  </si>
  <si>
    <t>Pemberian Bimbingan Fisik, Mental, Spiritual, dan Sosial</t>
  </si>
  <si>
    <t>Pemberian Akses ke Layanan Pendidikan dan Kesehatan Dasar</t>
  </si>
  <si>
    <t>Rehabilitasi Sosial Penyandang Masalah Kesejahteraan Sosial (PMKS) Lainnya Bukan Korban HIV/AIDS dan NAPZA di Luar Panti Sosial</t>
  </si>
  <si>
    <t>Penyediaan Sandang</t>
  </si>
  <si>
    <t>Pemberian Bimbingan Sosial kepada Keluarga Penyandang Masalah Kesejahteraan Sosial (PMKS) Lainnya Bukan Korban HIV/AIDS dan NAPZA</t>
  </si>
  <si>
    <t>Kerjasama antar Lembaga dan Kemitraan dalam Pelaksanaan Rehabilitasi Sosial Kabupaten/Kota</t>
  </si>
  <si>
    <t>PROGRAM PERLINDUNGAN DAN JAMINAN SOSIAL</t>
  </si>
  <si>
    <t>Pemeliharaan Anak-Anak Terlantar</t>
  </si>
  <si>
    <t>Penjangkauan Anak-Anak Terlantar</t>
  </si>
  <si>
    <t>Rujukan Anak-Anak Terlantar</t>
  </si>
  <si>
    <t>Pemantauan terhadap Pelaksanaan Pemeliharaan Anak Terlantar</t>
  </si>
  <si>
    <t>Pengelolaan Data Fakir Miskin Cakupan Daerah Kabupaten/Kota</t>
  </si>
  <si>
    <t>Pendataan Fakir Miskin Cakupan Daerah Kabupaten/Kota</t>
  </si>
  <si>
    <t>PROGRAM PENANGANAN BENCANA</t>
  </si>
  <si>
    <t>Perlindungan Sosial Korban Bencana Alam dan Sosial Kabupaten/Kota</t>
  </si>
  <si>
    <t>Penyediaan Makanan</t>
  </si>
  <si>
    <t>Terpenuhinya dokumen perencanaan pembangunan daerah</t>
  </si>
  <si>
    <t>Tersusunnya dokumen Renja 2021 dan Renja Perubahan 2020</t>
  </si>
  <si>
    <t>Terlaksananya kegiatan evaluasi dan pelaporan SAKIP</t>
  </si>
  <si>
    <t>Terbayarnya gaji dan tunjangan ASN</t>
  </si>
  <si>
    <t>Tersedianya pakaian khusus hari-hari tertentu</t>
  </si>
  <si>
    <t>Terlaksananya pengiriman diklat</t>
  </si>
  <si>
    <t>Tersedianya ATK setiap bulan</t>
  </si>
  <si>
    <t>%</t>
  </si>
  <si>
    <t>bulan</t>
  </si>
  <si>
    <t>dokumen</t>
  </si>
  <si>
    <t>Tersedianya peralatan dan perlengkapan kantor</t>
  </si>
  <si>
    <t>Tersedianya makanan dan minuman rapat harian serta makanan dan minuman tamu</t>
  </si>
  <si>
    <t>Tersedianya barang cetakan dan penggandaan</t>
  </si>
  <si>
    <t>Terlaksananya rapat-rapat koordinasi dan konsultasi ke luar daerah</t>
  </si>
  <si>
    <t>Terpenuhinya kebutuhan mebeleur</t>
  </si>
  <si>
    <t>unit</t>
  </si>
  <si>
    <t>Terpenuhinya kebutuhan peralatan gedung kantor</t>
  </si>
  <si>
    <t>Tersedianya perlengkapan gedung kantor</t>
  </si>
  <si>
    <t>Terbayarnya jasa komunikasi, SDA, dan listrik</t>
  </si>
  <si>
    <t>Terbayarnya jasa honorarium PNS dan Non PNS</t>
  </si>
  <si>
    <t>Terpeliharanya kendaraan dinas/operasional</t>
  </si>
  <si>
    <t>Terpeliharanya gedung kantor</t>
  </si>
  <si>
    <t>Terpeliharanya peralatan kantor</t>
  </si>
  <si>
    <t>Persentase TKSK, PSM, orsos, LKS, dan kelembagaan lainnya yang dibina</t>
  </si>
  <si>
    <t>Terlaksananya sosialisasi UGB dan PUB</t>
  </si>
  <si>
    <t>Terbinanya SDM pada Lembaga Kesejahteraan Sosial Masyarakat</t>
  </si>
  <si>
    <t>orang</t>
  </si>
  <si>
    <t>Terbayarnya honor TKSK 24 kecamatan dan terlaksananya Rakor TKSK</t>
  </si>
  <si>
    <t>Terdampinginya keluarga penerima bantuan PKH (Pemberdayaan Fakir dan PMKS)</t>
  </si>
  <si>
    <t>Terlaksananya sosialisasi Rastra</t>
  </si>
  <si>
    <t>Terlatihnya pendamping KUBE untuk mendampingi Program Penanggulangan Kemiskinan (Capacity Building)</t>
  </si>
  <si>
    <t>Jumlah lansia yang terbina</t>
  </si>
  <si>
    <t>Jumlah panti yang mendapat bantuan</t>
  </si>
  <si>
    <t>panti</t>
  </si>
  <si>
    <t>Jumlah veteran, pejuang/perintis kemerdekaan, pahlawan dan keluarganya yang menerima bantuan UEP dan bimbingan sosial</t>
  </si>
  <si>
    <t>Terbinanya Karang taruna</t>
  </si>
  <si>
    <t>Terlaksananya bantuan kepada Karang Taruna</t>
  </si>
  <si>
    <t>Terlaksanaya pemberdayaan anggota Karang Taruna melalui pelatihan keterampilan sablon dan pengadaan alat sablon untuk Karang Taruna Desa Cipari Kec. Cipari</t>
  </si>
  <si>
    <t>Terlaksananya pemeliharaan Taman Makam Pahlawan</t>
  </si>
  <si>
    <t>kegiatan</t>
  </si>
  <si>
    <t>Terselesaikannya kasus-kasus keluarga melalui LK3</t>
  </si>
  <si>
    <t>kasus</t>
  </si>
  <si>
    <t>Persentase PMKS yang memperoleh bantuan sosial untuk pemenuhan kebutuhan dasar</t>
  </si>
  <si>
    <t>Jumlah keluarga tidak mampu yang diberi bantuan (KIE Konseling)</t>
  </si>
  <si>
    <t>Terlaksananya pelatihan kewirusahaan kaum disabilitas Kec. Cipari</t>
  </si>
  <si>
    <t>Tersedianya alat bantu bagi penyandang cacat (pendayagunaan para penyandang cacat dan eks trauma)</t>
  </si>
  <si>
    <t>Jumlah penyandang cacat dan eks trauma yang diberi bantuan (Pendidikan dan pelatihan penyandang cacat dan eks trauma)</t>
  </si>
  <si>
    <t>Jumlah penyandang cacat yang mendapatkan diklat</t>
  </si>
  <si>
    <t>Terlaksananya pengiriman kontingen pentas seni penyandang cacat (pendayagunaan penyandang cacat dan eks trauma)</t>
  </si>
  <si>
    <t>tim</t>
  </si>
  <si>
    <t>Jumlah penyandang cacat dan eks trauma yang dikirim ke balai</t>
  </si>
  <si>
    <t>Jumlah PGOT yang terpeliharanya kesehatannya (KIE konseling)</t>
  </si>
  <si>
    <t>Tersedianya permakanan bagi penerima manfaat (RPTC)</t>
  </si>
  <si>
    <t>Tersedianya sandang bagi penerima manfaat (RPTC)</t>
  </si>
  <si>
    <t>Jumlah eks penyandang penyakit sosial yang mendapat pelatihan dan keterampilan</t>
  </si>
  <si>
    <t>Terbayarnya honor pada RPTC</t>
  </si>
  <si>
    <t>Terbinanya KUBE penerima bantuan APBN (fasilitasi manajemen usaha bagi keluarga miskin)</t>
  </si>
  <si>
    <t>Terlaksananya pelatihan dasar menjahit bagi keluarga miskin Desa Rawaapu Kec. Patimuan</t>
  </si>
  <si>
    <t>Terlaksanaya pelatihan dasar menjahit bagi keluarga miskin Desa Tambakreja Kec. Kedungreja</t>
  </si>
  <si>
    <t>Terlatih dan terbinanya WRSE (pelatihan keterampilan bagi keluarga miskin)</t>
  </si>
  <si>
    <t>Terlaksananya Safari Ramadhan (RPTC)</t>
  </si>
  <si>
    <t>paket</t>
  </si>
  <si>
    <t>Beroperasinya rumah singgah</t>
  </si>
  <si>
    <t>Persentase anak telantar yang dibina</t>
  </si>
  <si>
    <t>Jumlah anak telantar yang diobservasi dan diasesmen</t>
  </si>
  <si>
    <t>Jumlah anak telantar yang diberi rujukan</t>
  </si>
  <si>
    <t>Jumlah anak telantar yang diberi bantuan</t>
  </si>
  <si>
    <t>Terverifikasi dan validasi data PMKS dan PSKS</t>
  </si>
  <si>
    <t>Terverifikasi dan validasi data PMKS dan DTKS</t>
  </si>
  <si>
    <t>Persentase korban bencana yang menerima bantuan</t>
  </si>
  <si>
    <t>Tersedianya permakanan bagi korban bencana alam dan sosial</t>
  </si>
  <si>
    <t>PROGRAM PEMBERDAYAAN FAKIR MISKIN, KOMUNITAS ADAT TERPENCIL (KAT) DAN PENYANDANG MASALAH KESEJAHTERAAN SOSIAL</t>
  </si>
  <si>
    <t>PROGRAM PELAYANAN DAN REHABILITASI KESEJAHTERAAN SOSIAL</t>
  </si>
  <si>
    <t>PROGRAM PEMBINAAN ANAK TELANTAR</t>
  </si>
  <si>
    <t>PROGRAM PEMBINAAN PARA PENYANDANG CACAT DAN TRAUMA</t>
  </si>
  <si>
    <t>PROGRAM PEMBINAAN PANTI ASUHAN/PANTI JOMPO</t>
  </si>
  <si>
    <t>Peningkatan Kemampuan (Capacity Building) Petugas dan Pendamping Sosial Pemberdayaan Fakir Miskin, KAT, dan PMKS Lainnya</t>
  </si>
  <si>
    <t>Pelaksanaan KIE Konseling dan Kampanye Sosial Bagi Penyandang Masalah Kesejahteraan Sosial (PMKS)</t>
  </si>
  <si>
    <t>Pelatihan Keterampilan Berusaha Bagi Keluarga Miskin</t>
  </si>
  <si>
    <t>Pendidikan dan Pelatihan Keterampilan Berusaha Bagi Eks Penyandang Penyakit Sosial</t>
  </si>
  <si>
    <t>Peningkatan Jenjang Kerja Sama Pelaku-Pelaku usaha Kesejahteraan Sosial Masyarakat</t>
  </si>
  <si>
    <t>PROGRAM PEMBERDAYAAN KELEMBAGAAN KESEJAHTERAAN SOSIAL</t>
  </si>
  <si>
    <t>Peningkatan Kualitas SDM Kesejahteraan Sosial Masyarakat</t>
  </si>
  <si>
    <t>Pemberdayaan Lembaga Konsultasi Kesejahteraan Keluarga Kabupaten Cilacap</t>
  </si>
  <si>
    <t>Bimbingan Sosial, Bantuan Usaha Ekonomis produktif Bagi veteran, Pejuang/Perintis Kemerdekaan, Pahlawan, dan Keluarganya</t>
  </si>
  <si>
    <t>PROGRAM PELAYANAN ADMINISTRASI PERKANTORAN</t>
  </si>
  <si>
    <t>Penyediaan Jasa Administrasi Keuangan</t>
  </si>
  <si>
    <t>Penyediaan Alat Tulis Kantor</t>
  </si>
  <si>
    <t>Penyediaan Makanan dan Minuman</t>
  </si>
  <si>
    <t>PROGRAM PENINGKATAN SARANA DAN PRASARANA APARATUR</t>
  </si>
  <si>
    <t>Pengadaan Peralatan Gedung Kantor</t>
  </si>
  <si>
    <t>Pengadaan Perlengkapan Gedung Kantor</t>
  </si>
  <si>
    <t>Pemeliharaan Rutin/Berkala Gedung Kantor</t>
  </si>
  <si>
    <t>Pemeliharaan Rutin/Berkala Kendaraan Dinas/Operasional</t>
  </si>
  <si>
    <t>Pengadaan Pakaian Dinas Beserta Perlengkapannya</t>
  </si>
  <si>
    <t>PROGRAM PENINGKATAN DISIPLIN APARATUR</t>
  </si>
  <si>
    <t>Pendidikan dan Pelatihan Formal</t>
  </si>
  <si>
    <t>PROGRAM PENINGKATAN KAPASITAS SUMBER DAYA APARATUR</t>
  </si>
  <si>
    <t>Penyusunan Renja Perangkat Daerah</t>
  </si>
  <si>
    <t>PROGRAM PERENCANAAN DAN PELAPORAN KINERJA</t>
  </si>
  <si>
    <t>Evaluasi, Monitoring Kegiatan dan Pelaporan SAKIP</t>
  </si>
  <si>
    <t>1.06.1.06.01.01</t>
  </si>
  <si>
    <t>Dinsos</t>
  </si>
  <si>
    <t>TRIWULAN</t>
  </si>
  <si>
    <t>Penyediaan Barang Cetakan dan Penggadaan</t>
  </si>
  <si>
    <t>Rapat-Rapat Koordinasi dan Konsultasi ke Luar Daerah</t>
  </si>
  <si>
    <t>Pemeliharaan Rutin/Berkala Peralatan Gedung Kantor</t>
  </si>
  <si>
    <t>Pengembangan Bakat dan Keterampilan Anak Telantar</t>
  </si>
  <si>
    <t>Penanganan Masalah-Masalah Strategis yang Menyangkut Tanggap Cepat Darurat dan Kejadian Luar Biasa</t>
  </si>
  <si>
    <t>stel</t>
  </si>
  <si>
    <t>KT</t>
  </si>
  <si>
    <t>Terlayaninya PMKS yang direunifikasi keluarga (KIE Konseling)</t>
  </si>
  <si>
    <t>Persentase PMKS yang direhabilitasi</t>
  </si>
  <si>
    <t>1.06.1.06.01.01.02</t>
  </si>
  <si>
    <t>1.06.1.06.01.01.07</t>
  </si>
  <si>
    <t>1.06.1.06.01.02</t>
  </si>
  <si>
    <t>1.06.1.06.01.01.10</t>
  </si>
  <si>
    <t>1.06.1.06.01.01.13</t>
  </si>
  <si>
    <t>1.06.1.06.01.01.17</t>
  </si>
  <si>
    <t>1.06.1.06.01.01.18</t>
  </si>
  <si>
    <t>1.06.1.06.01.01.11</t>
  </si>
  <si>
    <t>1.06.1.06.01.02.24</t>
  </si>
  <si>
    <t>1.06.1.06.01.02.22</t>
  </si>
  <si>
    <t>1.06.1.06.01.02.28</t>
  </si>
  <si>
    <t>1.06.1.06.01.21</t>
  </si>
  <si>
    <t>1.06.1.06.01.21.08</t>
  </si>
  <si>
    <t>1.06.1.06.01.21.02</t>
  </si>
  <si>
    <t>1.06.1.06.01.15</t>
  </si>
  <si>
    <t>1.06.1.06.01.15.07</t>
  </si>
  <si>
    <t>1.06.1.06.01.15.09</t>
  </si>
  <si>
    <t>1.06.1.06.01.15.01</t>
  </si>
  <si>
    <t>1.06.1.06.01.19</t>
  </si>
  <si>
    <t>1.06.1.06.01.19.07</t>
  </si>
  <si>
    <t>1.06.1.06.01.07</t>
  </si>
  <si>
    <t>1.06.1.06.01.07.01</t>
  </si>
  <si>
    <t>1.06.1.06.01.07.03</t>
  </si>
  <si>
    <t>1.06.1.06.01.03</t>
  </si>
  <si>
    <t>1.06.1.06.01.03.05</t>
  </si>
  <si>
    <t>1.06.1.06.01.05</t>
  </si>
  <si>
    <t>1.06.1.06.01.05.01</t>
  </si>
  <si>
    <t>1.06.1.06.01.02.09</t>
  </si>
  <si>
    <t>1.06.1.06.01.02.07</t>
  </si>
  <si>
    <t>1.06.1.06.01.21.05</t>
  </si>
  <si>
    <t>1.06.1.06.01.21.09</t>
  </si>
  <si>
    <t>1.06.1.06.01.21.07</t>
  </si>
  <si>
    <t>1.06.1.06.01.21.06</t>
  </si>
  <si>
    <t>1.06.1.06.01.16</t>
  </si>
  <si>
    <t>1.06.1.06.01.16.03</t>
  </si>
  <si>
    <t>1.06.1.06.01.18</t>
  </si>
  <si>
    <t>1.06.1.06.01.18.03</t>
  </si>
  <si>
    <t>1.06.1.06.01.18.04</t>
  </si>
  <si>
    <t>1.06.1.06.01.16.17</t>
  </si>
  <si>
    <t>1.06.1.06.01.15.02</t>
  </si>
  <si>
    <t>1.06.1.06.01.15.03</t>
  </si>
  <si>
    <t>1.06.1.06.01.20</t>
  </si>
  <si>
    <t>1.06.1.06.01.20.01</t>
  </si>
  <si>
    <t>1.06.1.06.01.17</t>
  </si>
  <si>
    <t>1.06.1.06.01.17.04</t>
  </si>
  <si>
    <t>1.06.1.06.01.16.16</t>
  </si>
  <si>
    <t>1.06.1.06.01.16.10</t>
  </si>
  <si>
    <t>Terlaksananya pelatihan ekonomi produktif untuk masyarakat miskin Desa Mulyadadi Kec. Cipari</t>
  </si>
  <si>
    <t>Pemberdayaan Fakir dan PMKS</t>
  </si>
  <si>
    <t>paket / orang</t>
  </si>
  <si>
    <t>bulan / orang</t>
  </si>
  <si>
    <t>orang / lembaga</t>
  </si>
  <si>
    <t>bulan / unit</t>
  </si>
  <si>
    <t>orang / dokumen</t>
  </si>
  <si>
    <t>Program / Kegiatan / Sub Kegiatan versi Permendagri 090</t>
  </si>
  <si>
    <t>Tersedianya administrasi perkantoran setiap bulan</t>
  </si>
  <si>
    <t>Terpenuhinya sarpras kantor sesuai kebutuhan</t>
  </si>
  <si>
    <t>Pengadaan Mebeleur</t>
  </si>
  <si>
    <t>1.06.1.06.01.02.10</t>
  </si>
  <si>
    <t>Sosialisasi Rastra</t>
  </si>
  <si>
    <t>Pendataan PMKS dan PSKS</t>
  </si>
  <si>
    <t>Pembangunan dan Penyediaan Sarana Prasarana Panti Rehabilitasi / Rumah Singgah</t>
  </si>
  <si>
    <t>1.06.1.06.01.16.22</t>
  </si>
  <si>
    <t>Pemutahiran Data BDT</t>
  </si>
  <si>
    <t>1.06.1.06.01.16.23</t>
  </si>
  <si>
    <t>Pelatihan Ekonomi Produktif Untuk Masyarakat Miskin</t>
  </si>
  <si>
    <t>1.06.1.06.01.16.24</t>
  </si>
  <si>
    <t>PROGRAM PEMBINAAN EKS PENYANDANG PENYAKIT SOSIAL (EKS NARAPIDANA, PSK, NARKOBA, DAN PENYAKIT SOSIAL LAINNYA)</t>
  </si>
  <si>
    <t>1.06.1.06.01.21.03</t>
  </si>
  <si>
    <t>Tersedianya administrasi keuangan setiap bulan</t>
  </si>
  <si>
    <t>Kode Rekening Permendagri 13</t>
  </si>
  <si>
    <t xml:space="preserve">HASIL EVALUASI RENJA DINAS SOSIAL SAMPAI DENGAN TRIWULAN IV TAHUN 2020 </t>
  </si>
  <si>
    <t>OPD : DINAS SOSIAL</t>
  </si>
  <si>
    <t>Kode Rekening</t>
  </si>
  <si>
    <t>Program/Kegiatan</t>
  </si>
  <si>
    <t>Indikator Kinerja Program (outcome) / Kegiatan (Output)</t>
  </si>
  <si>
    <t>Target Renstra Perangkat Daerah Pada Tahun 2017 s/d 2022 (Periode Renstra Perangkat Daerah)</t>
  </si>
  <si>
    <t>Realisasi Capaian Kinerja Renstra Perangkat Daerah sampai dengan Tahun 2019</t>
  </si>
  <si>
    <t>Target Kinerja Renja Perangkat Daerah Tahun Berjalan  (Tahun 2020) yang dievaluasi</t>
  </si>
  <si>
    <t>Realisasi Kinerja Pada Triwulan</t>
  </si>
  <si>
    <t xml:space="preserve">Realisasi Capaian Kinerja dan Anggaran Renja  Perangkat Daerah 2020 yang dievaluasi </t>
  </si>
  <si>
    <t>Tingkat Capaian Kinerja dan Realisasi Anggaran Renja 2020 yang dievaluasi (%)</t>
  </si>
  <si>
    <t xml:space="preserve">Realisasi Kinerja Renstra PD s/d Tahun 2020 </t>
  </si>
  <si>
    <t>Tingkat Capaian Kinerja Renstra Dinas Sosial s/d Tahun 2020</t>
  </si>
  <si>
    <t xml:space="preserve">Indikator </t>
  </si>
  <si>
    <t>Rp</t>
  </si>
  <si>
    <t>Renja Rp</t>
  </si>
  <si>
    <t>APBD Definitif</t>
  </si>
  <si>
    <t>APBD Rp</t>
  </si>
  <si>
    <t>10=8+9</t>
  </si>
  <si>
    <t>11 = 10/7*100%</t>
  </si>
  <si>
    <t>14 = 6+12</t>
  </si>
  <si>
    <t>15 = 14/5 x 100%</t>
  </si>
  <si>
    <t>Program Pelayanan Administrasi Perkantoran</t>
  </si>
  <si>
    <t>Terpenuhinya  administrasi perkantoran setiap bulan</t>
  </si>
  <si>
    <t>Penyediaan jasa komunikasi, sumber daya air dan listrik</t>
  </si>
  <si>
    <t>Terbayarnya jasa komunikasi, Sumber Daya Air dan listrik.</t>
  </si>
  <si>
    <t>Penyediaan jasa administrasi keuangan</t>
  </si>
  <si>
    <t>Terbayarnya honorarium Pengelola Keuangan, non PNS dan lembur.</t>
  </si>
  <si>
    <t>Penyediaan alat tulis kantor</t>
  </si>
  <si>
    <t>Tersedianya Alat Tulis Kantor.</t>
  </si>
  <si>
    <t>Penyediaan barang cetakan dan penggandaan</t>
  </si>
  <si>
    <t>Tersedianya barang cetakan dan penggandaan.</t>
  </si>
  <si>
    <t>Penyediaan peralatan dan perlengkapan kantor</t>
  </si>
  <si>
    <t>Tersedianya Peralatan dan perlengkapan kantor.</t>
  </si>
  <si>
    <t>Penyediaan makanan dan minuman</t>
  </si>
  <si>
    <t>Tersedianya makan dan minuman rapat, karyawan dan tamu.</t>
  </si>
  <si>
    <t>Rapat-rapat koordinasi dan konsultasi ke luar daerah</t>
  </si>
  <si>
    <t>Terlaksananya rapat-rapat koordinasi dan konsultasi ke luar daerah.</t>
  </si>
  <si>
    <t>Program Peningkatan Sarana Dan Prasarana Aparatur</t>
  </si>
  <si>
    <t>Tersedianya sarana dan prasarana aparatur</t>
  </si>
  <si>
    <t>Pengadaan perlengkapan gedung kantor</t>
  </si>
  <si>
    <t>Pengadaan peralatan gedung kantor</t>
  </si>
  <si>
    <t>Tersedianya peralatan gedung kantor</t>
  </si>
  <si>
    <t>Pemeliharaan rutin/berkala gedung kantor</t>
  </si>
  <si>
    <t>Terpeliharanya gedung kantor.</t>
  </si>
  <si>
    <t>Pemeliharaan rutin/berkala kendaraan dinas/operasional</t>
  </si>
  <si>
    <t>Pemeliharaan rutin/berkala peralatan gedung kantor</t>
  </si>
  <si>
    <t>Terpeliharanya peralatan kantor.</t>
  </si>
  <si>
    <t>Program Peningkatan Disiplin Aparatur</t>
  </si>
  <si>
    <t>Tingkat Pelanggaran disiplin</t>
  </si>
  <si>
    <t>org</t>
  </si>
  <si>
    <t>Pengadaan pakaian khusus hari-hari tertentu</t>
  </si>
  <si>
    <t>Program Peningkatan Kapasitas Sumber Daya Aparatur</t>
  </si>
  <si>
    <t>Persentase aparatur yang memiliki kapasitas sesuai dengan bidangnya.</t>
  </si>
  <si>
    <t>Pendidikan dan pelatihan formal</t>
  </si>
  <si>
    <t>Terlaksananya pengiriman diklat.</t>
  </si>
  <si>
    <t>Program Pemberdayaan Fakir Miskin, Komunitas Adat Terpencil (KAT) Dan Penyandang Masalah Kesejahteraan Sosial (PMKS) Lainnya</t>
  </si>
  <si>
    <t>Persentase PMKS yang menerima program pemberdayaan sosial melalui kelompok usaha bersama (KUBE)</t>
  </si>
  <si>
    <t>Peningkatan Kemampuan (Capacity Building) petugas dan pedamping sosial pemberdayaan fakir miskin, KAT dan PMKS lainnya</t>
  </si>
  <si>
    <t>Terlatihnya pendamping KUBE untuk mendampingi Program Penanggulangan Kemiskinan</t>
  </si>
  <si>
    <t>Terbinanya KUBE penerima bantuan dari APBN</t>
  </si>
  <si>
    <t>Persentase PMKS yang memperoleh bantuan sosial untuk pemenuhan kebutuhan dasar (%).</t>
  </si>
  <si>
    <t>Pelatihan ketrampilan berusaha bagi keluarga miskin</t>
  </si>
  <si>
    <t xml:space="preserve"> Terlatih dan terbinanya WRSE.</t>
  </si>
  <si>
    <t>Terdampinginya keluarga penerima bantuan PKH</t>
  </si>
  <si>
    <t>Sosialisasi Rastra / BPNT.</t>
  </si>
  <si>
    <t>Terlaksananya Sosialisasi Rastra.</t>
  </si>
  <si>
    <t>Program Pelayanan Dan Rehabilitasi Kesejahteraan Sosial</t>
  </si>
  <si>
    <t>Persentase PMKS yang direhabilitasi.</t>
  </si>
  <si>
    <t>Pelaksanaan KIE konseling dan kampanye sosial bagi Penyandang Masalah Kesejahteraan Sosial (PMKS)</t>
  </si>
  <si>
    <t>Terlayaninya  PGOT, WTS, Waria yang terjangkau pelayanan kesejahteraan sosial</t>
  </si>
  <si>
    <t>Pelayanan dan Perlindungan Sosial bagi Korban Tindak Kekerasan</t>
  </si>
  <si>
    <t>Terlaksananya pelayanan kepada korban tindak kekerasan</t>
  </si>
  <si>
    <t>1.06.1.06.01.16.27</t>
  </si>
  <si>
    <t>Operasional Rumah Singgah.</t>
  </si>
  <si>
    <t>Beroperasinya rumah singgah.</t>
  </si>
  <si>
    <t>1.06.1.06.01.16.28</t>
  </si>
  <si>
    <t>Revitalisasi dan Pengadaan perangkat pengolah data untuk mendukung pusat layanan data sosial di kabupaten/kota (DAK)</t>
  </si>
  <si>
    <t>Tersedianya Sarana Pusat Layanan data</t>
  </si>
  <si>
    <t>Pendataan Fakir dan PMKS</t>
  </si>
  <si>
    <t>Tersusunnya Buku data PMKS dan PSKS</t>
  </si>
  <si>
    <t>dok</t>
  </si>
  <si>
    <t>Persentase korban bencana yang menerima bantuan sosial</t>
  </si>
  <si>
    <t>Penanganan masalah-masalah strategis yang menyangkut tanggap cepat darurat dan kejadian luar biasa</t>
  </si>
  <si>
    <t>Tersalurkannya bantuan permakanan bagi korban bencana.</t>
  </si>
  <si>
    <t>paket/ org</t>
  </si>
  <si>
    <t>201/ 622</t>
  </si>
  <si>
    <t>86/449</t>
  </si>
  <si>
    <t>70/220</t>
  </si>
  <si>
    <t>941/3445</t>
  </si>
  <si>
    <t>1298/ 4736</t>
  </si>
  <si>
    <t>Program Pembinaan Anak Terlantar</t>
  </si>
  <si>
    <t>Persentase anak terlantar yang dibina.</t>
  </si>
  <si>
    <t>Pengembangan bakat dan ketrampilan anak terlantar</t>
  </si>
  <si>
    <t>Jumlah anak terlantar yang dikembangkan bakat dan ketrampilannya.</t>
  </si>
  <si>
    <t>anak</t>
  </si>
  <si>
    <t>Program Pembinaan Para Penyandang Cacat Dan Trauma</t>
  </si>
  <si>
    <t>Persentase penyandang cacat dan eks trauma yang didiklat dan terbantu.</t>
  </si>
  <si>
    <t>Pendidikan dan pelatihan bagi penyandang cacat dan eks trauma</t>
  </si>
  <si>
    <t xml:space="preserve">Jumlah penyandang cacat yang mendapatkan diklat </t>
  </si>
  <si>
    <t>Pendayagunaan para penyandang cacat dan eks trauma</t>
  </si>
  <si>
    <t>Terkirimnya tim pentas seni dan terbantunya paca dan pendampingan JSODK</t>
  </si>
  <si>
    <t>keg</t>
  </si>
  <si>
    <t>Program Pembinaan Panti Asuhan /Panti Jompo</t>
  </si>
  <si>
    <t>persentase panti yang mendapat pembinaan</t>
  </si>
  <si>
    <t>Kegiatan bantuan dan jaminan sosial</t>
  </si>
  <si>
    <t>jumlah panti yang mendapat bantuan</t>
  </si>
  <si>
    <t>Program Pembinaan Eks Penyandang Penyakit Sosial (Eks Narapidana, Psk, Narkoba Dan Penyakit Sosial Lainnya)</t>
  </si>
  <si>
    <t>Persentase eks penyandang penyakit sosial yang mendapat pembinaan.</t>
  </si>
  <si>
    <t>Pendidikan dan pelatihan ketrampilan berusaha bagi eks penyandang penyakit sosial</t>
  </si>
  <si>
    <t>Jumlah eks penyandang penyakit sosial yang mendapat pelatihan dan ketrampilan.</t>
  </si>
  <si>
    <t>Program Pemberdayaan Kelembagaan Kesejahteraan Sosial</t>
  </si>
  <si>
    <t>Persentase TKSK, PSM, orsos dan LKS yang dibina</t>
  </si>
  <si>
    <t>Peningkatan jenjang kerjasama pelaku-pelaku usaha kesejahteraan sosial masyarakat</t>
  </si>
  <si>
    <t>Terbayarnya Honor TKSK (24 TKSK)</t>
  </si>
  <si>
    <t>1.06.1.06.01.21.003</t>
  </si>
  <si>
    <t>Peningkatan kualitas SDM kesejahteraan sosial masyarakat</t>
  </si>
  <si>
    <t>Terbinanya PSM.</t>
  </si>
  <si>
    <t>Pemberdayaan Kelembagaan Kesejahteraan Sosial KOMDA LANSIA Kabupaten Cilacap</t>
  </si>
  <si>
    <t>Terbinanya lansia</t>
  </si>
  <si>
    <t>Terlaksananya kegiatan sosialisasi dan konsultasi LK3</t>
  </si>
  <si>
    <t>Terbinanya karang taruna</t>
  </si>
  <si>
    <t>Bimbingan Sosial, Bantuan Usaha Ekonomis Produktif bagi Veteran, Pejuang/Perintis Kemerdekaandan, Pahlawan dan keluarganya serta Pemeliharaaan TMP</t>
  </si>
  <si>
    <t>jumlah  Veteran, pejuang/perintis kemerdekaan, pahlawan dan keluarganya yang menerima bantuan UEP dan Bimbingan sosial.</t>
  </si>
  <si>
    <t>Terlaksananya Sosialisasi UGB dan PUB</t>
  </si>
  <si>
    <t>Program Perencanaan dan Pelaporan Kinerja.</t>
  </si>
  <si>
    <t>Kesesuaian kegiatan Renja Dinsos dengan Renstra Dinsos.</t>
  </si>
  <si>
    <t>1.06.1.069.01.07.01</t>
  </si>
  <si>
    <t>Tersusunnya Dokumen Renja dan Renja Perubahan.</t>
  </si>
  <si>
    <t>1.06.1.069.01.07.02</t>
  </si>
  <si>
    <t>Evaluasi Renstra Perangkat daerah</t>
  </si>
  <si>
    <t>Terevaluasinya Dokumen Renstra</t>
  </si>
  <si>
    <t>1.06.1.069.01.07.03</t>
  </si>
  <si>
    <t>Termonitoringnya kegiatan dan Pelaporan SAKIP</t>
  </si>
  <si>
    <t>Rata-rata capaian kinerja (%)</t>
  </si>
  <si>
    <t>Predikat Kinerja</t>
  </si>
  <si>
    <t>Faktor pendorong keberhasilan kinerja : komitmen dan konsistensi dalam melaksanakan kegiatan sesuai yang direncanakan dan dianggarkan</t>
  </si>
  <si>
    <t>Faktor penghambat keberhasilan kinerja : keterbatasan sumber daya, aturan yang berubah-ubah dan beban kinerja yang tinggi</t>
  </si>
  <si>
    <t>Tindak lanjut yang diperlukan dalam triwulan berikutnya *) : peningkatan kinerja dan kapabilitas SDM untuk mempercepat realisasi pencapaian kinerja</t>
  </si>
  <si>
    <t>Tindak lanjut yang diperlukan dalam Renja Perangkat Daerah Kabupaten Cilacap Berikutnya *) : perencanaan rencana kerja yang tepat sasaran dan kesesuaian antara program dan kegiatan</t>
  </si>
  <si>
    <t>kube apbn 800 apbn</t>
  </si>
  <si>
    <t>20 apbd</t>
  </si>
  <si>
    <t xml:space="preserve"> 40 apbd</t>
  </si>
  <si>
    <t>JPS COVID 14,337 DAN BPNT COVID 49,079</t>
  </si>
  <si>
    <t>170 + 40 apbd</t>
  </si>
  <si>
    <t>tw I ada 2 org, tw ii 120 org, tw3 ada 3 org, tw iv ada 62 org</t>
  </si>
  <si>
    <t>twI 72 disabilitas menerima bantuan, tw II bantuan disabilitas 161 ORANG, tw iv 33 diabilitas menerima bantuan</t>
  </si>
  <si>
    <t>2017 tidak ada</t>
  </si>
  <si>
    <t>Pengiriman tim pentas seni dan terbantunya pca</t>
  </si>
  <si>
    <t>2018-2020 tidak ada</t>
  </si>
  <si>
    <t>Persentase tingkat kedisiplinan pegawai OPD</t>
  </si>
  <si>
    <t>2019 tidak ada</t>
  </si>
  <si>
    <t>1.06.1.06.01.03.02</t>
  </si>
  <si>
    <t>16=8+14</t>
  </si>
  <si>
    <t>EVALUASI RKPD TAHUN 2021</t>
  </si>
  <si>
    <t>DINAS SOSIAL KABUPATEN CILACAP</t>
  </si>
  <si>
    <t>V</t>
  </si>
  <si>
    <t xml:space="preserve">   </t>
  </si>
  <si>
    <t>DINSOS</t>
  </si>
  <si>
    <t>Persentase Penyandang cacat  mental fisik dan ,mental serta lanjut usia tidak potensial yang menerima bantuan sosial..</t>
  </si>
  <si>
    <t>Persentase PMKS yg menerima program pemberdayaan sosial melalui KUBE</t>
  </si>
  <si>
    <t>Persentase panti sosial yg menyediakan sarana dan prasarana pelayanan kesejahteraan sosial</t>
  </si>
  <si>
    <t>Persentase penyandang cacat fisik dan mental serta lanjut usia tidak potensial yang menerima bantuan sosial</t>
  </si>
  <si>
    <t>Persentase eks penyandang penyakit sosial yang mendapat pembinaan</t>
  </si>
  <si>
    <t>Rata-rata Capaian Kinerja (%)</t>
  </si>
  <si>
    <t>Faktor Pendorong Keberhasilan:</t>
  </si>
  <si>
    <t>Jumlah Dokumen Peencanaan, Penganggaran dan evaluasi Kinerja Perangkat Daerah.</t>
  </si>
  <si>
    <t>Tersedianya Administrasi Keuangan Perangkat Daerah</t>
  </si>
  <si>
    <t>Jumlah PMKS yang dibantu</t>
  </si>
  <si>
    <t>Dokumen</t>
  </si>
  <si>
    <t>Rp (ribu)
APBD Perubahan</t>
  </si>
  <si>
    <t>Orang</t>
  </si>
  <si>
    <t>Lembaga</t>
  </si>
  <si>
    <t>Unit</t>
  </si>
  <si>
    <t>Bulan</t>
  </si>
  <si>
    <t>Jumlah anak telantar yang dibina</t>
  </si>
  <si>
    <t>Jumlah dokumen PMKS dan DTKS</t>
  </si>
  <si>
    <t>Jumlah korban bencana yang menerima bantuan</t>
  </si>
  <si>
    <t>Jumlah PMKS lainnya yang dibantu</t>
  </si>
  <si>
    <t>Jumlah PSKS dan Non PSKS yang terbina</t>
  </si>
  <si>
    <t>Jumlah lembaga yang tersosialisasi</t>
  </si>
  <si>
    <t>Jumlah pegawai yang terfasilitasi administrasi kepegawaian perangkat daerah</t>
  </si>
  <si>
    <t>Tersedianya administrasi umum perangkat daerah</t>
  </si>
  <si>
    <t>Tersedianyan jasa penunjang urusan pemeintah daerah</t>
  </si>
  <si>
    <t>Jumlah pengadaan barang milik daerah</t>
  </si>
  <si>
    <t>Jumlah barang milik daerah yang terpelihara</t>
  </si>
  <si>
    <t>Tersusunnya dokumen Renja 2022 dan Renja Perubahan 2021</t>
  </si>
  <si>
    <t xml:space="preserve">  </t>
  </si>
  <si>
    <t>KEPALA DINAS SOSIAL</t>
  </si>
  <si>
    <t>KABUPATEN CILACAP</t>
  </si>
  <si>
    <t>ARIDA PUJI HASTUTI, S.P., M.M.</t>
  </si>
  <si>
    <t>Pembina Tingkat I</t>
  </si>
  <si>
    <t>NIP. 19701224 199603 2 004</t>
  </si>
  <si>
    <t>Realisasi Capaian Kinerja dan Anggaran Renja PD 2022 yang dievaluasi</t>
  </si>
  <si>
    <t>Tingkat Capaian Kinerja dan Realisasi Anggaran Renja 2022 yang dievaluasi (%)</t>
  </si>
  <si>
    <t>Realisasi Kinerja Renstra PD s/d Tahun 2022</t>
  </si>
  <si>
    <t>Tingkat Capaian Kinerja Renstra PD s/d Tahun 2022</t>
  </si>
  <si>
    <t>Pelayanan Dukungan Psikososial</t>
  </si>
  <si>
    <t>Terevaluasinya dokumen RENSTRA</t>
  </si>
  <si>
    <t>Terpenuhinya dokumen Renja dan Renja Perubahan</t>
  </si>
  <si>
    <t>Laporan monitoring, evaluasi, dan pelaporan SAKIP</t>
  </si>
  <si>
    <t>Tersedianya peralatan dan perlengkapan kantor Dinsos Kab. Cilacap</t>
  </si>
  <si>
    <t>Tersedianya makanan dan minuman rapat, karyawan, dan tamu kantor Dinsos Kab. Cilacap</t>
  </si>
  <si>
    <t>Tersedianya barang cetakan dan penggandaan kantor Dinsos Kab. Cilacap</t>
  </si>
  <si>
    <t>Terlaksananya rapat-rapat koordinasi dan konsultasi luar dan dalam daerah</t>
  </si>
  <si>
    <t>Terbayarnya jasa komunikasi, SDA, dan listrik kantor Dinsos Kab. Cilacap</t>
  </si>
  <si>
    <t>Terpeliharanya kendaraan dinas operasional Dinsos Kab. Cilacap</t>
  </si>
  <si>
    <t>m2</t>
  </si>
  <si>
    <t>Terpeliharanya gedung kantor Dinsos, RPTC, dan TMP Kab. Cilacap</t>
  </si>
  <si>
    <t>Terpeliharanya perlengkapan gedung kantor Dinsos Kab. Cilacap</t>
  </si>
  <si>
    <t>Terlaksananya rapat kerja Karang Taruna</t>
  </si>
  <si>
    <t>lembaga</t>
  </si>
  <si>
    <t>Terpenuhinya permakanan bagi PMKS</t>
  </si>
  <si>
    <t xml:space="preserve">Tersedianya alat bantu bagi penyandang cacat </t>
  </si>
  <si>
    <t xml:space="preserve">Terlayaninya PMKS yang direunifikasi keluarga </t>
  </si>
  <si>
    <t>Tersedianya bimbingan fisik, mental, spiritual, dan sosial bagi PMKS</t>
  </si>
  <si>
    <t>Terpenuhinya bimbingan sosial bagi keluarga PMKS lainnya</t>
  </si>
  <si>
    <t>Fasilitasi Bantuan Sosial Kesejahteraan Keluarga</t>
  </si>
  <si>
    <t>Terlatih dan terbinanya WRSE (Pelatihan keterampilan berusaha bagi keluarga miskin)</t>
  </si>
  <si>
    <t>Jumlah korban bencana yang mendapatkan dukungan psikososial</t>
  </si>
  <si>
    <t>lansia 0
disabil 3
alat 46</t>
  </si>
  <si>
    <t>60 kasus</t>
  </si>
  <si>
    <t>Cilacap,        April 2022</t>
  </si>
  <si>
    <t>Program / Kegiatan RKPD Permendagri 13 Th. 2006</t>
  </si>
  <si>
    <t>Program / Kegiatan / Sub Kegiatan
Kepmendagri 050-3708
Th. 2020</t>
  </si>
  <si>
    <t>Target Akhir Renstra PD pada Tahun 2017 - 2022 pada  Tahun 2022</t>
  </si>
  <si>
    <t>Realisasi capaian kinerja Renstra PD s.d. Renja Tahun Lalu (2021)</t>
  </si>
  <si>
    <t>Faktor penghambat pencapaian kinerja:</t>
  </si>
  <si>
    <t>Faktor pendorong keberhasilan kinerja:</t>
  </si>
  <si>
    <t>Tindak lanjut yang diperlukan dalam triwulan berikutnya:</t>
  </si>
  <si>
    <t>Tindak lanjut yang diperlukan dalam renja PD berikutnya:</t>
  </si>
  <si>
    <t>Kerja sama dengan PSKS; komitmen dan konsistensi dalam melaksanakan kegiatan sesuai yang direncanakan dan dianggarkan.</t>
  </si>
  <si>
    <t>Mengusulkan tambahan SDM; peningkatan kualitas SDM; peningkatan kualitas data.</t>
  </si>
  <si>
    <t>Pemenuhan SDM yang kompeten dan profesional serta sarpras yang memadai; meningkatkan kualitas penanganan PPKS dan kualitas PSKS; melakukan verval pendataan DTKS, PPKS, dan PSKS.</t>
  </si>
  <si>
    <t>Pandemi Covid-19; keterbatasan SDM yang kompeten dan profesional; sarpras yang belum memadai.</t>
  </si>
  <si>
    <t>HASIL EVALUASI TERHADAP HASIL RENJA PD KABUPATEN CILACAP</t>
  </si>
  <si>
    <t>TAHUN 2022</t>
  </si>
  <si>
    <t>Perangkat Daerah: DINAS SOSIAL KABUPATEN CILACAP</t>
  </si>
  <si>
    <t>Disusun,</t>
  </si>
  <si>
    <t>KEPALA BAPPEDA</t>
  </si>
  <si>
    <t>Dievaluasi,</t>
  </si>
  <si>
    <t>Ir. SUJITO, M.Si.</t>
  </si>
  <si>
    <t>Pembina Utama Muda</t>
  </si>
  <si>
    <t>NIP. 19651212 199103 1 019</t>
  </si>
  <si>
    <t>13=9+10+11+12</t>
  </si>
  <si>
    <t>14=7+13</t>
  </si>
  <si>
    <t>Rp
(Renja)</t>
  </si>
  <si>
    <t>Target Kinerja Renja PD Tahun Berjalan (Tahun 2022) yang dievaluasi (2022)</t>
  </si>
  <si>
    <t>1.06.01.2.01</t>
  </si>
  <si>
    <t>1.06.01.2.01.01</t>
  </si>
  <si>
    <t>1.06.01.2.01.07</t>
  </si>
  <si>
    <t>1.06.01</t>
  </si>
  <si>
    <t>1.06.01.2.02</t>
  </si>
  <si>
    <t>1.06.01.2.02.02.01</t>
  </si>
  <si>
    <t>1.06.01.2.06</t>
  </si>
  <si>
    <t>1.06.01.2.06.02</t>
  </si>
  <si>
    <t>1.06.01.2.06.03</t>
  </si>
  <si>
    <t>1.06.01.2.06.04</t>
  </si>
  <si>
    <t>1.06.01.2.06.05</t>
  </si>
  <si>
    <t>1.06.01.2.06.09</t>
  </si>
  <si>
    <t>1.06.01.2.08</t>
  </si>
  <si>
    <t>1.06.01.2.08.02</t>
  </si>
  <si>
    <t>1.06.01.2.08.04</t>
  </si>
  <si>
    <t>1.06.01.2.09</t>
  </si>
  <si>
    <t>1.06.01.2.09.01</t>
  </si>
  <si>
    <t>1.06.01.2.09.09</t>
  </si>
  <si>
    <t>1.06.01.2.09.11</t>
  </si>
  <si>
    <t>1.06.02.2.03</t>
  </si>
  <si>
    <t>1.06.02.2.03.01</t>
  </si>
  <si>
    <t>1.06.02.2.03.02</t>
  </si>
  <si>
    <t>1.06.02.2.03.03</t>
  </si>
  <si>
    <t>1.06.02.2.03.04</t>
  </si>
  <si>
    <t>1.06.02.2.03.05</t>
  </si>
  <si>
    <t>1.06.04.2.01</t>
  </si>
  <si>
    <t>1.06.04.2.01.01</t>
  </si>
  <si>
    <t>1.06.04.2.01.03</t>
  </si>
  <si>
    <t>1.06.04.2.01.04</t>
  </si>
  <si>
    <t>1.06.04.2.01.05</t>
  </si>
  <si>
    <t>1.06.04.2.01.08</t>
  </si>
  <si>
    <t>1.06.04.2.02</t>
  </si>
  <si>
    <t>1.06.04.2.02.03</t>
  </si>
  <si>
    <t>1.06.04.2.02.04</t>
  </si>
  <si>
    <t>1.06.04.2.02.05</t>
  </si>
  <si>
    <t>1.06.04.2.02.07</t>
  </si>
  <si>
    <t>1.06.04.2.02.08</t>
  </si>
  <si>
    <t>1.06.05.2.01</t>
  </si>
  <si>
    <t>1.06.05.2.01.01</t>
  </si>
  <si>
    <t>1.06.05.2.01.02</t>
  </si>
  <si>
    <t>1.06.05.2.01.03</t>
  </si>
  <si>
    <t>1.06.05.2.02</t>
  </si>
  <si>
    <t>1.06.05.2.02.02</t>
  </si>
  <si>
    <t>1.06.05.2.02.03</t>
  </si>
  <si>
    <t>1.06.06.2.01</t>
  </si>
  <si>
    <t>1.06.06.2.01.01</t>
  </si>
  <si>
    <t>1.06.06.2.01.05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</si>
</sst>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-&quot;Rp&quot;* #,##0_-;\-&quot;Rp&quot;* #,##0_-;_-&quot;Rp&quot;* &quot;-&quot;_-;_-@_-"/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#,##0.0"/>
    <numFmt numFmtId="168" formatCode="#,##0.000"/>
    <numFmt numFmtId="169" formatCode="[$-421]dd\ mmmm\ yyyy;@"/>
    <numFmt numFmtId="170" formatCode="_(* #,##0_);_(* \(#,##0\);_(* &quot;-&quot;??_);_(@_)"/>
    <numFmt numFmtId="171" formatCode="_(&quot;$&quot;* #,##0.00_);_(&quot;$&quot;* \(#,##0.00\);_(&quot;$&quot;* &quot;-&quot;??_);_(@_)"/>
    <numFmt numFmtId="172" formatCode="_(* #,##0.000_);_(* \(#,##0.000\);_(* &quot;-&quot;_);_(@_)"/>
    <numFmt numFmtId="173" formatCode="0.0"/>
    <numFmt numFmtId="174" formatCode="_(* #,##0.0_);_(* \(#,##0.0\);_(* &quot;-&quot;_);_(@_)"/>
    <numFmt numFmtId="175" formatCode="_-* #,##0.0_-;\-* #,##0.0_-;_-* &quot;-&quot;_-;_-@_-"/>
    <numFmt numFmtId="176" formatCode="_-* #,##0.000_-;\-* #,##0.000_-;_-* &quot;-&quot;_-;_-@_-"/>
    <numFmt numFmtId="177" formatCode="_-* #,##0.000_-;\-* #,##0.000_-;_-* &quot;-&quot;???_-;_-@_-"/>
    <numFmt numFmtId="178" formatCode="0.000"/>
    <numFmt numFmtId="179" formatCode="_-* #,##0.00_-;\-* #,##0.00_-;_-* &quot;-&quot;_-;_-@_-"/>
    <numFmt numFmtId="180" formatCode="#,##0.00_ ;\-#,##0.00\ "/>
    <numFmt numFmtId="181" formatCode="_-* #,##0_-;\-* #,##0_-;_-* &quot;-&quot;??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80000"/>
      <name val="Arial"/>
      <family val="2"/>
    </font>
    <font>
      <sz val="8"/>
      <color rgb="FF080000"/>
      <name val="Arial"/>
      <family val="2"/>
    </font>
    <font>
      <b/>
      <i/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2" tint="-9.9978637043366805E-2"/>
      <name val="Arial"/>
      <family val="2"/>
    </font>
    <font>
      <b/>
      <i/>
      <sz val="10"/>
      <color rgb="FFFF0000"/>
      <name val="Arial"/>
      <family val="2"/>
    </font>
    <font>
      <b/>
      <sz val="12"/>
      <color theme="1"/>
      <name val="Arial"/>
      <family val="2"/>
    </font>
    <font>
      <b/>
      <i/>
      <sz val="10"/>
      <color theme="0"/>
      <name val="Arial"/>
      <family val="2"/>
    </font>
    <font>
      <b/>
      <i/>
      <sz val="10"/>
      <color theme="9"/>
      <name val="Arial"/>
      <family val="2"/>
    </font>
    <font>
      <b/>
      <sz val="11"/>
      <color theme="1"/>
      <name val="Arial"/>
      <family val="2"/>
    </font>
    <font>
      <sz val="10"/>
      <color theme="2"/>
      <name val="Arial"/>
      <family val="2"/>
    </font>
    <font>
      <b/>
      <u/>
      <sz val="12"/>
      <color indexed="8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8"/>
      <color indexed="8"/>
      <name val="Arial"/>
      <family val="2"/>
    </font>
    <font>
      <b/>
      <u/>
      <sz val="18"/>
      <color indexed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0" fontId="1" fillId="0" borderId="0"/>
    <xf numFmtId="42" fontId="15" fillId="0" borderId="0" applyFont="0" applyFill="0" applyBorder="0" applyAlignment="0" applyProtection="0"/>
    <xf numFmtId="0" fontId="14" fillId="0" borderId="0"/>
    <xf numFmtId="0" fontId="10" fillId="0" borderId="0">
      <alignment vertical="top"/>
    </xf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14" fillId="0" borderId="0"/>
    <xf numFmtId="0" fontId="27" fillId="2" borderId="0">
      <alignment horizontal="left" vertical="top"/>
    </xf>
    <xf numFmtId="0" fontId="28" fillId="2" borderId="0">
      <alignment horizontal="left" vertical="top"/>
    </xf>
    <xf numFmtId="41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076">
    <xf numFmtId="0" fontId="0" fillId="0" borderId="0" xfId="0"/>
    <xf numFmtId="0" fontId="2" fillId="0" borderId="8" xfId="0" applyFont="1" applyBorder="1" applyAlignment="1">
      <alignment vertical="center" wrapText="1"/>
    </xf>
    <xf numFmtId="166" fontId="2" fillId="0" borderId="8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0" borderId="8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2" fillId="0" borderId="8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5" borderId="8" xfId="0" applyFont="1" applyFill="1" applyBorder="1" applyAlignment="1">
      <alignment vertical="center" wrapText="1"/>
    </xf>
    <xf numFmtId="0" fontId="9" fillId="5" borderId="8" xfId="0" applyFont="1" applyFill="1" applyBorder="1" applyAlignment="1">
      <alignment horizontal="left" vertical="center" wrapText="1"/>
    </xf>
    <xf numFmtId="167" fontId="8" fillId="0" borderId="8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2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8" fillId="0" borderId="7" xfId="0" applyFont="1" applyBorder="1" applyAlignment="1">
      <alignment horizontal="right" vertical="center"/>
    </xf>
    <xf numFmtId="4" fontId="8" fillId="0" borderId="8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right" vertical="center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right" vertical="center"/>
    </xf>
    <xf numFmtId="3" fontId="2" fillId="5" borderId="8" xfId="0" applyNumberFormat="1" applyFont="1" applyFill="1" applyBorder="1" applyAlignment="1">
      <alignment horizontal="right" vertical="center"/>
    </xf>
    <xf numFmtId="4" fontId="2" fillId="5" borderId="8" xfId="0" applyNumberFormat="1" applyFont="1" applyFill="1" applyBorder="1" applyAlignment="1">
      <alignment horizontal="right" vertical="center"/>
    </xf>
    <xf numFmtId="167" fontId="2" fillId="5" borderId="8" xfId="0" applyNumberFormat="1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4" fontId="8" fillId="0" borderId="8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4" fontId="8" fillId="0" borderId="9" xfId="0" applyNumberFormat="1" applyFont="1" applyBorder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0" fontId="2" fillId="5" borderId="7" xfId="0" applyFont="1" applyFill="1" applyBorder="1" applyAlignment="1">
      <alignment vertical="center" wrapText="1"/>
    </xf>
    <xf numFmtId="0" fontId="9" fillId="5" borderId="15" xfId="0" applyFont="1" applyFill="1" applyBorder="1" applyAlignment="1">
      <alignment horizontal="left" vertical="center" wrapText="1"/>
    </xf>
    <xf numFmtId="0" fontId="6" fillId="6" borderId="8" xfId="1" applyFont="1" applyFill="1" applyBorder="1" applyAlignment="1">
      <alignment horizontal="left" vertical="center"/>
    </xf>
    <xf numFmtId="0" fontId="6" fillId="3" borderId="8" xfId="1" applyFont="1" applyFill="1" applyBorder="1" applyAlignment="1">
      <alignment horizontal="left" vertical="center"/>
    </xf>
    <xf numFmtId="0" fontId="2" fillId="5" borderId="8" xfId="0" applyFont="1" applyFill="1" applyBorder="1" applyAlignment="1">
      <alignment vertical="center"/>
    </xf>
    <xf numFmtId="167" fontId="8" fillId="0" borderId="5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5" xfId="0" applyNumberFormat="1" applyFont="1" applyBorder="1" applyAlignment="1">
      <alignment horizontal="right" vertical="center"/>
    </xf>
    <xf numFmtId="168" fontId="8" fillId="0" borderId="8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167" fontId="14" fillId="0" borderId="8" xfId="0" applyNumberFormat="1" applyFont="1" applyBorder="1" applyAlignment="1">
      <alignment vertical="center"/>
    </xf>
    <xf numFmtId="168" fontId="8" fillId="0" borderId="0" xfId="0" applyNumberFormat="1" applyFont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168" fontId="2" fillId="5" borderId="8" xfId="0" applyNumberFormat="1" applyFont="1" applyFill="1" applyBorder="1" applyAlignment="1">
      <alignment horizontal="right" vertical="center"/>
    </xf>
    <xf numFmtId="168" fontId="2" fillId="0" borderId="0" xfId="0" applyNumberFormat="1" applyFont="1" applyAlignment="1">
      <alignment horizontal="right" vertical="center"/>
    </xf>
    <xf numFmtId="4" fontId="14" fillId="0" borderId="8" xfId="0" applyNumberFormat="1" applyFont="1" applyBorder="1" applyAlignment="1">
      <alignment horizontal="right" vertical="center"/>
    </xf>
    <xf numFmtId="167" fontId="14" fillId="0" borderId="8" xfId="0" applyNumberFormat="1" applyFont="1" applyBorder="1" applyAlignment="1">
      <alignment horizontal="right" vertical="center"/>
    </xf>
    <xf numFmtId="169" fontId="18" fillId="0" borderId="0" xfId="3" applyNumberFormat="1" applyFont="1" applyAlignment="1">
      <alignment vertical="top"/>
    </xf>
    <xf numFmtId="169" fontId="18" fillId="0" borderId="0" xfId="3" applyNumberFormat="1" applyFont="1" applyAlignment="1">
      <alignment horizontal="center" vertical="top"/>
    </xf>
    <xf numFmtId="169" fontId="18" fillId="0" borderId="0" xfId="3" applyNumberFormat="1" applyFont="1" applyAlignment="1">
      <alignment horizontal="right" vertical="top"/>
    </xf>
    <xf numFmtId="0" fontId="0" fillId="0" borderId="0" xfId="0" applyAlignment="1">
      <alignment vertical="center" wrapText="1"/>
    </xf>
    <xf numFmtId="0" fontId="2" fillId="7" borderId="28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 wrapText="1"/>
    </xf>
    <xf numFmtId="0" fontId="2" fillId="7" borderId="29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left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right" vertical="center"/>
    </xf>
    <xf numFmtId="0" fontId="2" fillId="7" borderId="25" xfId="0" applyFont="1" applyFill="1" applyBorder="1" applyAlignment="1">
      <alignment vertical="center"/>
    </xf>
    <xf numFmtId="0" fontId="3" fillId="7" borderId="25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right" vertical="center"/>
    </xf>
    <xf numFmtId="0" fontId="3" fillId="7" borderId="27" xfId="0" applyFont="1" applyFill="1" applyBorder="1" applyAlignment="1">
      <alignment horizontal="right" vertical="center"/>
    </xf>
    <xf numFmtId="0" fontId="2" fillId="7" borderId="33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left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right" vertical="center"/>
    </xf>
    <xf numFmtId="0" fontId="2" fillId="7" borderId="8" xfId="0" applyFont="1" applyFill="1" applyBorder="1" applyAlignment="1">
      <alignment vertical="center"/>
    </xf>
    <xf numFmtId="0" fontId="3" fillId="7" borderId="8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right" vertical="center"/>
    </xf>
    <xf numFmtId="0" fontId="3" fillId="7" borderId="34" xfId="0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right" vertical="center"/>
    </xf>
    <xf numFmtId="0" fontId="2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center"/>
    </xf>
    <xf numFmtId="0" fontId="3" fillId="7" borderId="35" xfId="0" applyFont="1" applyFill="1" applyBorder="1" applyAlignment="1">
      <alignment horizontal="right" vertical="center"/>
    </xf>
    <xf numFmtId="0" fontId="2" fillId="7" borderId="5" xfId="0" applyFont="1" applyFill="1" applyBorder="1" applyAlignment="1">
      <alignment horizontal="center" vertical="center"/>
    </xf>
    <xf numFmtId="0" fontId="9" fillId="7" borderId="8" xfId="4" applyFont="1" applyFill="1" applyBorder="1" applyAlignment="1">
      <alignment vertical="center" wrapText="1"/>
    </xf>
    <xf numFmtId="0" fontId="7" fillId="7" borderId="12" xfId="0" applyFont="1" applyFill="1" applyBorder="1" applyAlignment="1">
      <alignment horizontal="left" vertical="center" wrapText="1"/>
    </xf>
    <xf numFmtId="0" fontId="6" fillId="7" borderId="15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right" vertical="center" wrapText="1"/>
    </xf>
    <xf numFmtId="164" fontId="3" fillId="7" borderId="15" xfId="5" applyFont="1" applyFill="1" applyBorder="1" applyAlignment="1">
      <alignment horizontal="right" vertical="center" wrapText="1"/>
    </xf>
    <xf numFmtId="1" fontId="6" fillId="7" borderId="15" xfId="0" applyNumberFormat="1" applyFont="1" applyFill="1" applyBorder="1" applyAlignment="1">
      <alignment horizontal="right" vertical="center" wrapText="1"/>
    </xf>
    <xf numFmtId="170" fontId="3" fillId="7" borderId="15" xfId="6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horizontal="right" vertical="center"/>
    </xf>
    <xf numFmtId="168" fontId="3" fillId="7" borderId="15" xfId="0" applyNumberFormat="1" applyFont="1" applyFill="1" applyBorder="1" applyAlignment="1">
      <alignment horizontal="right" vertical="center" wrapText="1"/>
    </xf>
    <xf numFmtId="3" fontId="6" fillId="7" borderId="15" xfId="0" applyNumberFormat="1" applyFont="1" applyFill="1" applyBorder="1" applyAlignment="1">
      <alignment horizontal="right" vertical="center" wrapText="1"/>
    </xf>
    <xf numFmtId="172" fontId="6" fillId="7" borderId="15" xfId="7" applyNumberFormat="1" applyFont="1" applyFill="1" applyBorder="1" applyAlignment="1">
      <alignment horizontal="right" vertical="center" wrapText="1"/>
    </xf>
    <xf numFmtId="164" fontId="6" fillId="7" borderId="15" xfId="7" applyNumberFormat="1" applyFont="1" applyFill="1" applyBorder="1" applyAlignment="1">
      <alignment horizontal="right" vertical="center" wrapText="1"/>
    </xf>
    <xf numFmtId="164" fontId="6" fillId="7" borderId="15" xfId="5" applyFont="1" applyFill="1" applyBorder="1" applyAlignment="1">
      <alignment horizontal="right" vertical="center" wrapText="1"/>
    </xf>
    <xf numFmtId="2" fontId="6" fillId="7" borderId="15" xfId="0" applyNumberFormat="1" applyFont="1" applyFill="1" applyBorder="1" applyAlignment="1">
      <alignment horizontal="right" vertical="center" wrapText="1"/>
    </xf>
    <xf numFmtId="166" fontId="3" fillId="7" borderId="15" xfId="5" applyNumberFormat="1" applyFont="1" applyFill="1" applyBorder="1" applyAlignment="1">
      <alignment horizontal="right" vertical="center" wrapText="1"/>
    </xf>
    <xf numFmtId="173" fontId="6" fillId="7" borderId="13" xfId="0" applyNumberFormat="1" applyFont="1" applyFill="1" applyBorder="1" applyAlignment="1">
      <alignment horizontal="right" vertical="center" wrapText="1"/>
    </xf>
    <xf numFmtId="2" fontId="3" fillId="7" borderId="36" xfId="0" applyNumberFormat="1" applyFont="1" applyFill="1" applyBorder="1" applyAlignment="1">
      <alignment horizontal="right" vertical="center"/>
    </xf>
    <xf numFmtId="0" fontId="20" fillId="0" borderId="0" xfId="0" applyFont="1"/>
    <xf numFmtId="0" fontId="8" fillId="0" borderId="33" xfId="0" applyFont="1" applyBorder="1" applyAlignment="1">
      <alignment horizontal="center" vertical="center"/>
    </xf>
    <xf numFmtId="0" fontId="10" fillId="0" borderId="8" xfId="4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21" fillId="0" borderId="7" xfId="0" applyFont="1" applyBorder="1" applyAlignment="1">
      <alignment horizontal="right" vertical="center"/>
    </xf>
    <xf numFmtId="3" fontId="21" fillId="0" borderId="8" xfId="0" applyNumberFormat="1" applyFont="1" applyBorder="1" applyAlignment="1">
      <alignment horizontal="right" vertical="center"/>
    </xf>
    <xf numFmtId="164" fontId="14" fillId="0" borderId="7" xfId="5" applyFont="1" applyFill="1" applyBorder="1" applyAlignment="1">
      <alignment horizontal="right" vertical="center" wrapText="1"/>
    </xf>
    <xf numFmtId="170" fontId="14" fillId="0" borderId="8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 wrapText="1"/>
    </xf>
    <xf numFmtId="164" fontId="14" fillId="0" borderId="8" xfId="0" applyNumberFormat="1" applyFont="1" applyBorder="1" applyAlignment="1">
      <alignment horizontal="righ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164" fontId="14" fillId="0" borderId="8" xfId="5" applyFont="1" applyFill="1" applyBorder="1" applyAlignment="1">
      <alignment horizontal="right" vertical="center" wrapText="1"/>
    </xf>
    <xf numFmtId="2" fontId="7" fillId="0" borderId="15" xfId="0" applyNumberFormat="1" applyFont="1" applyBorder="1" applyAlignment="1">
      <alignment horizontal="right" vertical="center" wrapText="1"/>
    </xf>
    <xf numFmtId="166" fontId="14" fillId="0" borderId="8" xfId="5" applyNumberFormat="1" applyFont="1" applyFill="1" applyBorder="1" applyAlignment="1">
      <alignment horizontal="right" vertical="center" wrapText="1"/>
    </xf>
    <xf numFmtId="173" fontId="22" fillId="0" borderId="7" xfId="0" applyNumberFormat="1" applyFont="1" applyBorder="1" applyAlignment="1">
      <alignment horizontal="right" vertical="center" wrapText="1"/>
    </xf>
    <xf numFmtId="170" fontId="3" fillId="0" borderId="15" xfId="6" applyNumberFormat="1" applyFont="1" applyFill="1" applyBorder="1" applyAlignment="1">
      <alignment horizontal="right" vertical="center"/>
    </xf>
    <xf numFmtId="2" fontId="21" fillId="0" borderId="8" xfId="0" applyNumberFormat="1" applyFont="1" applyBorder="1" applyAlignment="1">
      <alignment horizontal="right" vertical="center" wrapText="1"/>
    </xf>
    <xf numFmtId="2" fontId="21" fillId="0" borderId="34" xfId="0" applyNumberFormat="1" applyFont="1" applyBorder="1" applyAlignment="1">
      <alignment horizontal="right" vertical="center"/>
    </xf>
    <xf numFmtId="0" fontId="2" fillId="7" borderId="37" xfId="0" applyFont="1" applyFill="1" applyBorder="1" applyAlignment="1">
      <alignment horizontal="center" vertical="center"/>
    </xf>
    <xf numFmtId="0" fontId="9" fillId="7" borderId="1" xfId="4" applyFont="1" applyFill="1" applyBorder="1" applyAlignment="1">
      <alignment horizontal="left" vertical="center" wrapText="1"/>
    </xf>
    <xf numFmtId="0" fontId="3" fillId="7" borderId="5" xfId="8" applyFont="1" applyFill="1" applyBorder="1" applyAlignment="1">
      <alignment horizontal="left" vertical="center" wrapText="1"/>
    </xf>
    <xf numFmtId="0" fontId="6" fillId="7" borderId="8" xfId="0" applyFont="1" applyFill="1" applyBorder="1" applyAlignment="1">
      <alignment horizontal="center" vertical="center"/>
    </xf>
    <xf numFmtId="0" fontId="3" fillId="7" borderId="7" xfId="8" applyFont="1" applyFill="1" applyBorder="1" applyAlignment="1">
      <alignment horizontal="right" vertical="center" wrapText="1"/>
    </xf>
    <xf numFmtId="164" fontId="3" fillId="7" borderId="8" xfId="5" applyFont="1" applyFill="1" applyBorder="1" applyAlignment="1">
      <alignment horizontal="right" vertical="center" wrapText="1"/>
    </xf>
    <xf numFmtId="164" fontId="3" fillId="7" borderId="7" xfId="5" applyFont="1" applyFill="1" applyBorder="1" applyAlignment="1">
      <alignment horizontal="right" vertical="center" wrapText="1"/>
    </xf>
    <xf numFmtId="170" fontId="3" fillId="7" borderId="8" xfId="0" applyNumberFormat="1" applyFont="1" applyFill="1" applyBorder="1" applyAlignment="1">
      <alignment horizontal="right" vertical="center" wrapText="1"/>
    </xf>
    <xf numFmtId="3" fontId="3" fillId="7" borderId="8" xfId="0" applyNumberFormat="1" applyFont="1" applyFill="1" applyBorder="1" applyAlignment="1">
      <alignment horizontal="right" vertical="center"/>
    </xf>
    <xf numFmtId="172" fontId="3" fillId="7" borderId="8" xfId="5" applyNumberFormat="1" applyFont="1" applyFill="1" applyBorder="1" applyAlignment="1">
      <alignment horizontal="right" vertical="center"/>
    </xf>
    <xf numFmtId="164" fontId="3" fillId="7" borderId="8" xfId="5" applyFont="1" applyFill="1" applyBorder="1" applyAlignment="1">
      <alignment horizontal="right" vertical="center"/>
    </xf>
    <xf numFmtId="3" fontId="6" fillId="7" borderId="8" xfId="0" applyNumberFormat="1" applyFont="1" applyFill="1" applyBorder="1" applyAlignment="1">
      <alignment horizontal="right" vertical="center" wrapText="1"/>
    </xf>
    <xf numFmtId="166" fontId="3" fillId="7" borderId="8" xfId="5" applyNumberFormat="1" applyFont="1" applyFill="1" applyBorder="1" applyAlignment="1">
      <alignment horizontal="right" vertical="center" wrapText="1"/>
    </xf>
    <xf numFmtId="173" fontId="6" fillId="7" borderId="7" xfId="0" applyNumberFormat="1" applyFont="1" applyFill="1" applyBorder="1" applyAlignment="1">
      <alignment horizontal="right" vertical="center" wrapText="1"/>
    </xf>
    <xf numFmtId="2" fontId="6" fillId="7" borderId="8" xfId="0" applyNumberFormat="1" applyFont="1" applyFill="1" applyBorder="1" applyAlignment="1">
      <alignment horizontal="right" vertical="center" wrapText="1"/>
    </xf>
    <xf numFmtId="2" fontId="3" fillId="7" borderId="34" xfId="0" applyNumberFormat="1" applyFont="1" applyFill="1" applyBorder="1" applyAlignment="1">
      <alignment horizontal="right" vertical="center"/>
    </xf>
    <xf numFmtId="1" fontId="14" fillId="0" borderId="8" xfId="5" quotePrefix="1" applyNumberFormat="1" applyFont="1" applyFill="1" applyBorder="1" applyAlignment="1">
      <alignment horizontal="right" vertical="center"/>
    </xf>
    <xf numFmtId="164" fontId="14" fillId="0" borderId="8" xfId="5" applyFont="1" applyFill="1" applyBorder="1" applyAlignment="1">
      <alignment horizontal="right" vertical="center"/>
    </xf>
    <xf numFmtId="1" fontId="14" fillId="0" borderId="8" xfId="5" applyNumberFormat="1" applyFont="1" applyFill="1" applyBorder="1" applyAlignment="1">
      <alignment horizontal="right" vertical="center"/>
    </xf>
    <xf numFmtId="2" fontId="6" fillId="0" borderId="15" xfId="0" applyNumberFormat="1" applyFont="1" applyBorder="1" applyAlignment="1">
      <alignment horizontal="right" vertical="center" wrapText="1"/>
    </xf>
    <xf numFmtId="170" fontId="8" fillId="0" borderId="8" xfId="0" applyNumberFormat="1" applyFont="1" applyBorder="1" applyAlignment="1">
      <alignment horizontal="right" vertical="center"/>
    </xf>
    <xf numFmtId="164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164" fontId="0" fillId="0" borderId="8" xfId="5" applyFont="1" applyFill="1" applyBorder="1" applyAlignment="1">
      <alignment horizontal="right" vertical="center"/>
    </xf>
    <xf numFmtId="2" fontId="7" fillId="0" borderId="8" xfId="0" applyNumberFormat="1" applyFont="1" applyBorder="1" applyAlignment="1">
      <alignment horizontal="right" vertical="center" wrapText="1"/>
    </xf>
    <xf numFmtId="0" fontId="6" fillId="7" borderId="5" xfId="0" applyFont="1" applyFill="1" applyBorder="1" applyAlignment="1">
      <alignment horizontal="left" vertical="center" wrapText="1"/>
    </xf>
    <xf numFmtId="164" fontId="3" fillId="7" borderId="7" xfId="6" applyNumberFormat="1" applyFont="1" applyFill="1" applyBorder="1" applyAlignment="1">
      <alignment horizontal="right" vertical="center" wrapText="1"/>
    </xf>
    <xf numFmtId="170" fontId="2" fillId="7" borderId="8" xfId="0" applyNumberFormat="1" applyFont="1" applyFill="1" applyBorder="1" applyAlignment="1">
      <alignment horizontal="right" vertical="center"/>
    </xf>
    <xf numFmtId="164" fontId="2" fillId="7" borderId="8" xfId="5" applyFont="1" applyFill="1" applyBorder="1" applyAlignment="1">
      <alignment horizontal="right" vertical="center"/>
    </xf>
    <xf numFmtId="0" fontId="20" fillId="7" borderId="8" xfId="0" applyFont="1" applyFill="1" applyBorder="1" applyAlignment="1">
      <alignment horizontal="right" vertical="center"/>
    </xf>
    <xf numFmtId="164" fontId="20" fillId="7" borderId="8" xfId="5" applyFont="1" applyFill="1" applyBorder="1" applyAlignment="1">
      <alignment horizontal="right" vertical="center"/>
    </xf>
    <xf numFmtId="0" fontId="7" fillId="7" borderId="5" xfId="0" applyFont="1" applyFill="1" applyBorder="1" applyAlignment="1">
      <alignment horizontal="left" vertical="center" wrapText="1"/>
    </xf>
    <xf numFmtId="0" fontId="7" fillId="7" borderId="8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right" vertical="center"/>
    </xf>
    <xf numFmtId="3" fontId="2" fillId="7" borderId="7" xfId="0" applyNumberFormat="1" applyFont="1" applyFill="1" applyBorder="1" applyAlignment="1">
      <alignment horizontal="right" vertical="center"/>
    </xf>
    <xf numFmtId="1" fontId="2" fillId="7" borderId="8" xfId="5" applyNumberFormat="1" applyFont="1" applyFill="1" applyBorder="1" applyAlignment="1">
      <alignment horizontal="right" vertical="center" wrapText="1"/>
    </xf>
    <xf numFmtId="3" fontId="0" fillId="7" borderId="8" xfId="0" applyNumberFormat="1" applyFill="1" applyBorder="1" applyAlignment="1">
      <alignment horizontal="right" vertical="center"/>
    </xf>
    <xf numFmtId="164" fontId="0" fillId="7" borderId="8" xfId="5" applyFont="1" applyFill="1" applyBorder="1" applyAlignment="1">
      <alignment horizontal="right" vertical="center"/>
    </xf>
    <xf numFmtId="2" fontId="3" fillId="7" borderId="8" xfId="0" applyNumberFormat="1" applyFont="1" applyFill="1" applyBorder="1" applyAlignment="1">
      <alignment horizontal="right" vertical="center" wrapText="1"/>
    </xf>
    <xf numFmtId="1" fontId="8" fillId="0" borderId="8" xfId="5" applyNumberFormat="1" applyFont="1" applyFill="1" applyBorder="1" applyAlignment="1">
      <alignment horizontal="right" vertical="center" wrapText="1"/>
    </xf>
    <xf numFmtId="173" fontId="6" fillId="0" borderId="7" xfId="0" applyNumberFormat="1" applyFont="1" applyBorder="1" applyAlignment="1">
      <alignment horizontal="right" vertical="center" wrapText="1"/>
    </xf>
    <xf numFmtId="2" fontId="3" fillId="0" borderId="8" xfId="0" applyNumberFormat="1" applyFont="1" applyBorder="1" applyAlignment="1">
      <alignment horizontal="right" vertical="center" wrapText="1"/>
    </xf>
    <xf numFmtId="2" fontId="3" fillId="0" borderId="34" xfId="0" applyNumberFormat="1" applyFont="1" applyBorder="1" applyAlignment="1">
      <alignment horizontal="right" vertical="center"/>
    </xf>
    <xf numFmtId="0" fontId="3" fillId="7" borderId="15" xfId="8" applyFont="1" applyFill="1" applyBorder="1" applyAlignment="1">
      <alignment horizontal="center" vertical="center" wrapText="1"/>
    </xf>
    <xf numFmtId="0" fontId="9" fillId="7" borderId="15" xfId="4" applyFont="1" applyFill="1" applyBorder="1" applyAlignment="1">
      <alignment horizontal="left" vertical="center" wrapText="1"/>
    </xf>
    <xf numFmtId="0" fontId="22" fillId="7" borderId="13" xfId="0" applyFont="1" applyFill="1" applyBorder="1" applyAlignment="1">
      <alignment horizontal="right" vertical="center" wrapText="1"/>
    </xf>
    <xf numFmtId="164" fontId="3" fillId="7" borderId="13" xfId="5" applyFont="1" applyFill="1" applyBorder="1" applyAlignment="1">
      <alignment horizontal="right" vertical="center" wrapText="1"/>
    </xf>
    <xf numFmtId="170" fontId="3" fillId="7" borderId="15" xfId="0" applyNumberFormat="1" applyFont="1" applyFill="1" applyBorder="1" applyAlignment="1">
      <alignment horizontal="right" vertical="center" wrapText="1"/>
    </xf>
    <xf numFmtId="167" fontId="2" fillId="7" borderId="15" xfId="0" applyNumberFormat="1" applyFont="1" applyFill="1" applyBorder="1" applyAlignment="1">
      <alignment horizontal="right" vertical="center" wrapText="1"/>
    </xf>
    <xf numFmtId="172" fontId="2" fillId="7" borderId="15" xfId="5" applyNumberFormat="1" applyFont="1" applyFill="1" applyBorder="1" applyAlignment="1">
      <alignment horizontal="right" vertical="center" wrapText="1"/>
    </xf>
    <xf numFmtId="4" fontId="2" fillId="7" borderId="13" xfId="0" applyNumberFormat="1" applyFont="1" applyFill="1" applyBorder="1" applyAlignment="1">
      <alignment horizontal="right" vertical="center" wrapText="1"/>
    </xf>
    <xf numFmtId="168" fontId="2" fillId="7" borderId="13" xfId="0" applyNumberFormat="1" applyFont="1" applyFill="1" applyBorder="1" applyAlignment="1">
      <alignment horizontal="right" vertical="center" wrapText="1"/>
    </xf>
    <xf numFmtId="3" fontId="3" fillId="7" borderId="15" xfId="0" applyNumberFormat="1" applyFont="1" applyFill="1" applyBorder="1" applyAlignment="1">
      <alignment horizontal="right" vertical="center" wrapText="1"/>
    </xf>
    <xf numFmtId="4" fontId="6" fillId="7" borderId="15" xfId="0" applyNumberFormat="1" applyFont="1" applyFill="1" applyBorder="1" applyAlignment="1">
      <alignment horizontal="right" vertical="center" wrapText="1"/>
    </xf>
    <xf numFmtId="2" fontId="3" fillId="7" borderId="15" xfId="0" applyNumberFormat="1" applyFont="1" applyFill="1" applyBorder="1" applyAlignment="1">
      <alignment horizontal="right" vertical="center" wrapText="1"/>
    </xf>
    <xf numFmtId="0" fontId="2" fillId="0" borderId="32" xfId="0" applyFont="1" applyBorder="1" applyAlignment="1">
      <alignment horizontal="center" vertical="center"/>
    </xf>
    <xf numFmtId="0" fontId="14" fillId="0" borderId="15" xfId="8" applyBorder="1" applyAlignment="1">
      <alignment horizontal="center" vertical="center" wrapText="1"/>
    </xf>
    <xf numFmtId="0" fontId="9" fillId="0" borderId="15" xfId="4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2" fontId="3" fillId="0" borderId="7" xfId="2" applyNumberFormat="1" applyFont="1" applyFill="1" applyBorder="1" applyAlignment="1">
      <alignment horizontal="right" vertical="center" wrapText="1"/>
    </xf>
    <xf numFmtId="0" fontId="22" fillId="0" borderId="8" xfId="0" applyFont="1" applyBorder="1" applyAlignment="1">
      <alignment horizontal="right" vertical="center" wrapText="1"/>
    </xf>
    <xf numFmtId="166" fontId="3" fillId="0" borderId="7" xfId="5" applyNumberFormat="1" applyFont="1" applyFill="1" applyBorder="1" applyAlignment="1">
      <alignment horizontal="right" vertical="center" wrapText="1"/>
    </xf>
    <xf numFmtId="170" fontId="3" fillId="0" borderId="8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164" fontId="3" fillId="0" borderId="7" xfId="5" applyFont="1" applyFill="1" applyBorder="1" applyAlignment="1">
      <alignment horizontal="right" vertical="center" wrapText="1"/>
    </xf>
    <xf numFmtId="166" fontId="3" fillId="0" borderId="8" xfId="5" applyNumberFormat="1" applyFont="1" applyFill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6" fontId="3" fillId="0" borderId="8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164" fontId="3" fillId="0" borderId="8" xfId="5" applyFont="1" applyFill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2" fontId="2" fillId="8" borderId="7" xfId="0" applyNumberFormat="1" applyFont="1" applyFill="1" applyBorder="1" applyAlignment="1">
      <alignment horizontal="right" vertical="center" wrapText="1"/>
    </xf>
    <xf numFmtId="0" fontId="14" fillId="0" borderId="8" xfId="8" applyBorder="1" applyAlignment="1">
      <alignment vertical="center"/>
    </xf>
    <xf numFmtId="0" fontId="14" fillId="0" borderId="7" xfId="0" applyFont="1" applyBorder="1" applyAlignment="1">
      <alignment horizontal="right" vertical="center" wrapText="1"/>
    </xf>
    <xf numFmtId="3" fontId="21" fillId="0" borderId="8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170" fontId="22" fillId="0" borderId="15" xfId="6" applyNumberFormat="1" applyFont="1" applyFill="1" applyBorder="1" applyAlignment="1">
      <alignment horizontal="right" vertical="center"/>
    </xf>
    <xf numFmtId="2" fontId="22" fillId="0" borderId="8" xfId="0" applyNumberFormat="1" applyFont="1" applyBorder="1" applyAlignment="1">
      <alignment horizontal="right" vertical="center" wrapText="1"/>
    </xf>
    <xf numFmtId="2" fontId="22" fillId="0" borderId="34" xfId="0" applyNumberFormat="1" applyFont="1" applyBorder="1" applyAlignment="1">
      <alignment horizontal="right" vertical="center"/>
    </xf>
    <xf numFmtId="1" fontId="14" fillId="0" borderId="8" xfId="5" applyNumberFormat="1" applyFont="1" applyFill="1" applyBorder="1" applyAlignment="1">
      <alignment horizontal="right" vertical="center" wrapText="1"/>
    </xf>
    <xf numFmtId="0" fontId="14" fillId="0" borderId="8" xfId="0" applyFont="1" applyBorder="1" applyAlignment="1">
      <alignment horizontal="right" vertical="center" wrapText="1"/>
    </xf>
    <xf numFmtId="0" fontId="3" fillId="0" borderId="15" xfId="8" applyFont="1" applyBorder="1" applyAlignment="1">
      <alignment vertical="center"/>
    </xf>
    <xf numFmtId="2" fontId="3" fillId="0" borderId="7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0" fontId="14" fillId="0" borderId="8" xfId="0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right" vertical="center" wrapText="1"/>
    </xf>
    <xf numFmtId="0" fontId="3" fillId="7" borderId="8" xfId="8" applyFont="1" applyFill="1" applyBorder="1" applyAlignment="1">
      <alignment vertical="center"/>
    </xf>
    <xf numFmtId="0" fontId="8" fillId="7" borderId="8" xfId="0" applyFont="1" applyFill="1" applyBorder="1" applyAlignment="1">
      <alignment horizontal="center" vertical="center" wrapText="1"/>
    </xf>
    <xf numFmtId="166" fontId="3" fillId="7" borderId="7" xfId="6" applyNumberFormat="1" applyFont="1" applyFill="1" applyBorder="1" applyAlignment="1">
      <alignment horizontal="right" vertical="center" wrapText="1"/>
    </xf>
    <xf numFmtId="166" fontId="3" fillId="7" borderId="7" xfId="5" applyNumberFormat="1" applyFont="1" applyFill="1" applyBorder="1" applyAlignment="1">
      <alignment horizontal="right" vertical="center" wrapText="1"/>
    </xf>
    <xf numFmtId="4" fontId="3" fillId="7" borderId="8" xfId="0" applyNumberFormat="1" applyFont="1" applyFill="1" applyBorder="1" applyAlignment="1">
      <alignment horizontal="right" vertical="center" wrapText="1"/>
    </xf>
    <xf numFmtId="172" fontId="3" fillId="7" borderId="8" xfId="5" applyNumberFormat="1" applyFont="1" applyFill="1" applyBorder="1" applyAlignment="1">
      <alignment horizontal="right" vertical="center" wrapText="1"/>
    </xf>
    <xf numFmtId="164" fontId="20" fillId="7" borderId="8" xfId="5" applyFont="1" applyFill="1" applyBorder="1" applyAlignment="1">
      <alignment horizontal="right" vertical="center" wrapText="1"/>
    </xf>
    <xf numFmtId="3" fontId="7" fillId="7" borderId="8" xfId="0" applyNumberFormat="1" applyFont="1" applyFill="1" applyBorder="1" applyAlignment="1">
      <alignment horizontal="right" vertical="center" wrapText="1"/>
    </xf>
    <xf numFmtId="0" fontId="2" fillId="0" borderId="33" xfId="0" applyFont="1" applyBorder="1" applyAlignment="1">
      <alignment horizontal="center" vertical="center"/>
    </xf>
    <xf numFmtId="0" fontId="9" fillId="0" borderId="8" xfId="4" applyFont="1" applyBorder="1" applyAlignment="1">
      <alignment horizontal="left" vertical="center" wrapText="1"/>
    </xf>
    <xf numFmtId="166" fontId="3" fillId="0" borderId="7" xfId="6" applyNumberFormat="1" applyFont="1" applyFill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166" fontId="20" fillId="0" borderId="8" xfId="5" applyNumberFormat="1" applyFont="1" applyFill="1" applyBorder="1" applyAlignment="1">
      <alignment horizontal="right" vertical="center" wrapText="1"/>
    </xf>
    <xf numFmtId="164" fontId="20" fillId="0" borderId="8" xfId="5" applyFont="1" applyFill="1" applyBorder="1" applyAlignment="1">
      <alignment horizontal="right" vertical="center" wrapText="1"/>
    </xf>
    <xf numFmtId="172" fontId="20" fillId="0" borderId="8" xfId="5" applyNumberFormat="1" applyFont="1" applyFill="1" applyBorder="1" applyAlignment="1">
      <alignment horizontal="right" vertical="center" wrapText="1"/>
    </xf>
    <xf numFmtId="2" fontId="6" fillId="0" borderId="8" xfId="0" applyNumberFormat="1" applyFont="1" applyBorder="1" applyAlignment="1">
      <alignment horizontal="right" vertical="center" wrapText="1"/>
    </xf>
    <xf numFmtId="0" fontId="21" fillId="0" borderId="7" xfId="0" applyFont="1" applyBorder="1" applyAlignment="1">
      <alignment horizontal="right" vertical="center" wrapText="1"/>
    </xf>
    <xf numFmtId="170" fontId="3" fillId="0" borderId="8" xfId="6" applyNumberFormat="1" applyFont="1" applyFill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164" fontId="3" fillId="0" borderId="7" xfId="6" applyNumberFormat="1" applyFont="1" applyFill="1" applyBorder="1" applyAlignment="1">
      <alignment horizontal="right" vertical="center" wrapText="1"/>
    </xf>
    <xf numFmtId="174" fontId="3" fillId="0" borderId="7" xfId="5" applyNumberFormat="1" applyFont="1" applyFill="1" applyBorder="1" applyAlignment="1">
      <alignment horizontal="right" vertical="center" wrapText="1"/>
    </xf>
    <xf numFmtId="167" fontId="6" fillId="0" borderId="8" xfId="0" applyNumberFormat="1" applyFont="1" applyBorder="1" applyAlignment="1">
      <alignment horizontal="right" vertical="center" wrapText="1"/>
    </xf>
    <xf numFmtId="166" fontId="3" fillId="0" borderId="15" xfId="5" applyNumberFormat="1" applyFont="1" applyFill="1" applyBorder="1" applyAlignment="1">
      <alignment horizontal="right" vertical="center" wrapText="1"/>
    </xf>
    <xf numFmtId="3" fontId="21" fillId="0" borderId="7" xfId="0" applyNumberFormat="1" applyFont="1" applyBorder="1" applyAlignment="1">
      <alignment horizontal="right" vertical="center" wrapText="1"/>
    </xf>
    <xf numFmtId="37" fontId="14" fillId="0" borderId="8" xfId="5" applyNumberFormat="1" applyFont="1" applyFill="1" applyBorder="1" applyAlignment="1">
      <alignment horizontal="right" vertical="center" wrapText="1"/>
    </xf>
    <xf numFmtId="2" fontId="16" fillId="7" borderId="8" xfId="5" applyNumberFormat="1" applyFont="1" applyFill="1" applyBorder="1" applyAlignment="1">
      <alignment horizontal="right" vertical="center" wrapText="1"/>
    </xf>
    <xf numFmtId="164" fontId="14" fillId="7" borderId="8" xfId="0" applyNumberFormat="1" applyFont="1" applyFill="1" applyBorder="1" applyAlignment="1">
      <alignment horizontal="right" vertical="center" wrapText="1"/>
    </xf>
    <xf numFmtId="166" fontId="14" fillId="7" borderId="8" xfId="0" applyNumberFormat="1" applyFont="1" applyFill="1" applyBorder="1" applyAlignment="1">
      <alignment horizontal="right" vertical="center" wrapText="1"/>
    </xf>
    <xf numFmtId="0" fontId="14" fillId="7" borderId="8" xfId="0" applyFont="1" applyFill="1" applyBorder="1" applyAlignment="1">
      <alignment horizontal="right" vertical="center" wrapText="1"/>
    </xf>
    <xf numFmtId="164" fontId="16" fillId="7" borderId="8" xfId="5" applyFont="1" applyFill="1" applyBorder="1" applyAlignment="1">
      <alignment horizontal="right" vertical="center" wrapText="1"/>
    </xf>
    <xf numFmtId="4" fontId="6" fillId="7" borderId="8" xfId="0" applyNumberFormat="1" applyFont="1" applyFill="1" applyBorder="1" applyAlignment="1">
      <alignment horizontal="right" vertical="center" wrapText="1"/>
    </xf>
    <xf numFmtId="2" fontId="6" fillId="7" borderId="7" xfId="0" applyNumberFormat="1" applyFont="1" applyFill="1" applyBorder="1" applyAlignment="1">
      <alignment horizontal="right" vertical="center" wrapText="1"/>
    </xf>
    <xf numFmtId="172" fontId="3" fillId="7" borderId="7" xfId="5" applyNumberFormat="1" applyFont="1" applyFill="1" applyBorder="1" applyAlignment="1">
      <alignment horizontal="right" vertical="center" wrapText="1"/>
    </xf>
    <xf numFmtId="2" fontId="3" fillId="7" borderId="8" xfId="5" applyNumberFormat="1" applyFont="1" applyFill="1" applyBorder="1" applyAlignment="1">
      <alignment horizontal="right" vertical="center" wrapText="1"/>
    </xf>
    <xf numFmtId="166" fontId="20" fillId="7" borderId="8" xfId="5" applyNumberFormat="1" applyFont="1" applyFill="1" applyBorder="1" applyAlignment="1">
      <alignment horizontal="right" vertical="center" wrapText="1"/>
    </xf>
    <xf numFmtId="172" fontId="20" fillId="7" borderId="8" xfId="5" applyNumberFormat="1" applyFont="1" applyFill="1" applyBorder="1" applyAlignment="1">
      <alignment horizontal="right" vertical="center" wrapText="1"/>
    </xf>
    <xf numFmtId="168" fontId="6" fillId="7" borderId="8" xfId="0" applyNumberFormat="1" applyFont="1" applyFill="1" applyBorder="1" applyAlignment="1">
      <alignment horizontal="right" vertical="center" wrapText="1"/>
    </xf>
    <xf numFmtId="0" fontId="8" fillId="0" borderId="37" xfId="0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right" vertical="center"/>
    </xf>
    <xf numFmtId="4" fontId="3" fillId="7" borderId="8" xfId="6" applyNumberFormat="1" applyFont="1" applyFill="1" applyBorder="1" applyAlignment="1">
      <alignment horizontal="right" vertical="center" wrapText="1"/>
    </xf>
    <xf numFmtId="164" fontId="3" fillId="7" borderId="8" xfId="0" applyNumberFormat="1" applyFont="1" applyFill="1" applyBorder="1" applyAlignment="1">
      <alignment horizontal="right" vertical="center" wrapText="1"/>
    </xf>
    <xf numFmtId="166" fontId="3" fillId="7" borderId="8" xfId="0" applyNumberFormat="1" applyFont="1" applyFill="1" applyBorder="1" applyAlignment="1">
      <alignment horizontal="right" vertical="center" wrapText="1"/>
    </xf>
    <xf numFmtId="3" fontId="3" fillId="7" borderId="8" xfId="0" applyNumberFormat="1" applyFont="1" applyFill="1" applyBorder="1" applyAlignment="1">
      <alignment horizontal="right" vertical="center" wrapText="1"/>
    </xf>
    <xf numFmtId="0" fontId="2" fillId="7" borderId="5" xfId="0" applyFont="1" applyFill="1" applyBorder="1" applyAlignment="1">
      <alignment horizontal="left" vertical="center" wrapText="1"/>
    </xf>
    <xf numFmtId="1" fontId="16" fillId="7" borderId="8" xfId="5" applyNumberFormat="1" applyFont="1" applyFill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center" wrapText="1"/>
    </xf>
    <xf numFmtId="1" fontId="14" fillId="0" borderId="8" xfId="0" applyNumberFormat="1" applyFont="1" applyBorder="1" applyAlignment="1">
      <alignment horizontal="right" vertical="center" wrapText="1"/>
    </xf>
    <xf numFmtId="169" fontId="2" fillId="7" borderId="5" xfId="0" applyNumberFormat="1" applyFont="1" applyFill="1" applyBorder="1" applyAlignment="1">
      <alignment horizontal="left" vertical="center" wrapText="1"/>
    </xf>
    <xf numFmtId="0" fontId="10" fillId="0" borderId="1" xfId="4" applyBorder="1" applyAlignment="1">
      <alignment horizontal="left" vertical="center" wrapText="1"/>
    </xf>
    <xf numFmtId="0" fontId="14" fillId="0" borderId="15" xfId="8" applyBorder="1" applyAlignment="1">
      <alignment vertical="center"/>
    </xf>
    <xf numFmtId="0" fontId="8" fillId="7" borderId="33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right" vertical="center"/>
    </xf>
    <xf numFmtId="172" fontId="20" fillId="7" borderId="8" xfId="0" applyNumberFormat="1" applyFont="1" applyFill="1" applyBorder="1" applyAlignment="1">
      <alignment horizontal="right" vertical="center"/>
    </xf>
    <xf numFmtId="164" fontId="20" fillId="7" borderId="8" xfId="0" applyNumberFormat="1" applyFont="1" applyFill="1" applyBorder="1" applyAlignment="1">
      <alignment horizontal="right" vertical="center"/>
    </xf>
    <xf numFmtId="168" fontId="0" fillId="0" borderId="0" xfId="0" applyNumberFormat="1"/>
    <xf numFmtId="0" fontId="8" fillId="8" borderId="38" xfId="0" applyFont="1" applyFill="1" applyBorder="1" applyAlignment="1">
      <alignment horizontal="center" vertical="center"/>
    </xf>
    <xf numFmtId="0" fontId="14" fillId="8" borderId="8" xfId="8" quotePrefix="1" applyFill="1" applyBorder="1" applyAlignment="1">
      <alignment vertical="center"/>
    </xf>
    <xf numFmtId="0" fontId="10" fillId="8" borderId="8" xfId="4" applyFill="1" applyBorder="1" applyAlignment="1">
      <alignment vertical="center" wrapText="1"/>
    </xf>
    <xf numFmtId="0" fontId="7" fillId="8" borderId="5" xfId="0" applyFont="1" applyFill="1" applyBorder="1" applyAlignment="1">
      <alignment horizontal="left" vertical="center" wrapText="1"/>
    </xf>
    <xf numFmtId="164" fontId="0" fillId="8" borderId="8" xfId="5" applyFont="1" applyFill="1" applyBorder="1" applyAlignment="1">
      <alignment horizontal="right" vertical="center"/>
    </xf>
    <xf numFmtId="2" fontId="7" fillId="8" borderId="15" xfId="0" applyNumberFormat="1" applyFont="1" applyFill="1" applyBorder="1" applyAlignment="1">
      <alignment horizontal="right" vertical="center" wrapText="1"/>
    </xf>
    <xf numFmtId="166" fontId="14" fillId="8" borderId="8" xfId="5" applyNumberFormat="1" applyFont="1" applyFill="1" applyBorder="1" applyAlignment="1">
      <alignment horizontal="right" vertical="center" wrapText="1"/>
    </xf>
    <xf numFmtId="173" fontId="7" fillId="8" borderId="7" xfId="0" applyNumberFormat="1" applyFont="1" applyFill="1" applyBorder="1" applyAlignment="1">
      <alignment horizontal="right" vertical="center" wrapText="1"/>
    </xf>
    <xf numFmtId="170" fontId="14" fillId="8" borderId="8" xfId="6" applyNumberFormat="1" applyFont="1" applyFill="1" applyBorder="1" applyAlignment="1">
      <alignment horizontal="right" vertical="center"/>
    </xf>
    <xf numFmtId="2" fontId="7" fillId="8" borderId="8" xfId="0" applyNumberFormat="1" applyFont="1" applyFill="1" applyBorder="1" applyAlignment="1">
      <alignment horizontal="right" vertical="center" wrapText="1"/>
    </xf>
    <xf numFmtId="2" fontId="8" fillId="8" borderId="34" xfId="0" applyNumberFormat="1" applyFont="1" applyFill="1" applyBorder="1" applyAlignment="1">
      <alignment horizontal="right" vertical="center"/>
    </xf>
    <xf numFmtId="0" fontId="14" fillId="8" borderId="38" xfId="0" applyFont="1" applyFill="1" applyBorder="1" applyAlignment="1">
      <alignment horizontal="center" vertical="center"/>
    </xf>
    <xf numFmtId="173" fontId="21" fillId="8" borderId="7" xfId="0" applyNumberFormat="1" applyFont="1" applyFill="1" applyBorder="1" applyAlignment="1">
      <alignment horizontal="right" vertical="center" wrapText="1"/>
    </xf>
    <xf numFmtId="170" fontId="21" fillId="8" borderId="8" xfId="6" applyNumberFormat="1" applyFont="1" applyFill="1" applyBorder="1" applyAlignment="1">
      <alignment horizontal="right" vertical="center"/>
    </xf>
    <xf numFmtId="2" fontId="21" fillId="8" borderId="8" xfId="0" applyNumberFormat="1" applyFont="1" applyFill="1" applyBorder="1" applyAlignment="1">
      <alignment horizontal="right" vertical="center" wrapText="1"/>
    </xf>
    <xf numFmtId="3" fontId="14" fillId="8" borderId="34" xfId="0" applyNumberFormat="1" applyFont="1" applyFill="1" applyBorder="1" applyAlignment="1">
      <alignment horizontal="right" vertical="center"/>
    </xf>
    <xf numFmtId="0" fontId="23" fillId="0" borderId="0" xfId="0" applyFont="1"/>
    <xf numFmtId="0" fontId="2" fillId="0" borderId="38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168" fontId="3" fillId="0" borderId="8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2" fontId="2" fillId="0" borderId="39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14" fillId="0" borderId="0" xfId="0" applyFont="1"/>
    <xf numFmtId="0" fontId="2" fillId="0" borderId="0" xfId="0" applyFont="1"/>
    <xf numFmtId="0" fontId="1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21" fillId="0" borderId="0" xfId="0" applyFont="1"/>
    <xf numFmtId="0" fontId="21" fillId="8" borderId="0" xfId="0" applyFont="1" applyFill="1"/>
    <xf numFmtId="0" fontId="24" fillId="8" borderId="0" xfId="0" applyFont="1" applyFill="1"/>
    <xf numFmtId="0" fontId="25" fillId="8" borderId="0" xfId="0" applyFont="1" applyFill="1" applyAlignment="1">
      <alignment horizontal="right" vertical="top"/>
    </xf>
    <xf numFmtId="0" fontId="26" fillId="0" borderId="0" xfId="0" applyFont="1" applyAlignment="1">
      <alignment horizontal="right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3" fontId="0" fillId="0" borderId="0" xfId="0" applyNumberFormat="1"/>
    <xf numFmtId="0" fontId="0" fillId="0" borderId="0" xfId="0" applyAlignment="1">
      <alignment vertical="top"/>
    </xf>
    <xf numFmtId="0" fontId="26" fillId="0" borderId="0" xfId="0" applyFont="1"/>
    <xf numFmtId="168" fontId="6" fillId="7" borderId="15" xfId="0" applyNumberFormat="1" applyFont="1" applyFill="1" applyBorder="1" applyAlignment="1">
      <alignment horizontal="right" vertical="center" wrapText="1"/>
    </xf>
    <xf numFmtId="168" fontId="7" fillId="0" borderId="15" xfId="0" applyNumberFormat="1" applyFont="1" applyBorder="1" applyAlignment="1">
      <alignment horizontal="right" vertical="center" wrapText="1"/>
    </xf>
    <xf numFmtId="168" fontId="7" fillId="0" borderId="28" xfId="0" applyNumberFormat="1" applyFont="1" applyBorder="1" applyAlignment="1">
      <alignment horizontal="right" vertical="center" wrapText="1"/>
    </xf>
    <xf numFmtId="0" fontId="0" fillId="0" borderId="28" xfId="0" applyBorder="1"/>
    <xf numFmtId="168" fontId="7" fillId="0" borderId="8" xfId="0" applyNumberFormat="1" applyFont="1" applyBorder="1" applyAlignment="1">
      <alignment horizontal="right" vertical="center" wrapText="1"/>
    </xf>
    <xf numFmtId="168" fontId="6" fillId="0" borderId="8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68" fontId="7" fillId="7" borderId="8" xfId="0" applyNumberFormat="1" applyFont="1" applyFill="1" applyBorder="1" applyAlignment="1">
      <alignment horizontal="right" vertical="center" wrapText="1"/>
    </xf>
    <xf numFmtId="168" fontId="7" fillId="8" borderId="8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right" vertical="center"/>
    </xf>
    <xf numFmtId="3" fontId="13" fillId="0" borderId="8" xfId="0" applyNumberFormat="1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1" fontId="8" fillId="0" borderId="8" xfId="0" quotePrefix="1" applyNumberFormat="1" applyFont="1" applyBorder="1" applyAlignment="1">
      <alignment horizontal="right" vertical="center"/>
    </xf>
    <xf numFmtId="3" fontId="3" fillId="5" borderId="8" xfId="0" applyNumberFormat="1" applyFont="1" applyFill="1" applyBorder="1" applyAlignment="1">
      <alignment horizontal="right" vertical="center"/>
    </xf>
    <xf numFmtId="0" fontId="14" fillId="8" borderId="8" xfId="0" applyFont="1" applyFill="1" applyBorder="1" applyAlignment="1">
      <alignment vertical="center" wrapText="1"/>
    </xf>
    <xf numFmtId="0" fontId="3" fillId="8" borderId="8" xfId="0" applyFont="1" applyFill="1" applyBorder="1" applyAlignment="1">
      <alignment vertical="center" wrapText="1"/>
    </xf>
    <xf numFmtId="0" fontId="3" fillId="8" borderId="5" xfId="0" applyFont="1" applyFill="1" applyBorder="1" applyAlignment="1">
      <alignment vertical="center" wrapText="1"/>
    </xf>
    <xf numFmtId="0" fontId="14" fillId="8" borderId="5" xfId="0" applyFont="1" applyFill="1" applyBorder="1" applyAlignment="1">
      <alignment vertical="center" wrapText="1"/>
    </xf>
    <xf numFmtId="0" fontId="3" fillId="8" borderId="8" xfId="0" applyFont="1" applyFill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14" fillId="0" borderId="8" xfId="1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5" borderId="8" xfId="0" applyFont="1" applyFill="1" applyBorder="1" applyAlignment="1">
      <alignment horizontal="center" vertical="center"/>
    </xf>
    <xf numFmtId="0" fontId="29" fillId="5" borderId="8" xfId="0" applyFont="1" applyFill="1" applyBorder="1" applyAlignment="1">
      <alignment horizontal="right" vertical="center" wrapText="1"/>
    </xf>
    <xf numFmtId="0" fontId="4" fillId="5" borderId="8" xfId="0" applyFont="1" applyFill="1" applyBorder="1" applyAlignment="1">
      <alignment horizontal="right" vertical="center"/>
    </xf>
    <xf numFmtId="3" fontId="4" fillId="5" borderId="8" xfId="0" applyNumberFormat="1" applyFont="1" applyFill="1" applyBorder="1" applyAlignment="1">
      <alignment horizontal="right" vertical="center"/>
    </xf>
    <xf numFmtId="167" fontId="4" fillId="5" borderId="8" xfId="0" applyNumberFormat="1" applyFont="1" applyFill="1" applyBorder="1" applyAlignment="1">
      <alignment horizontal="right" vertical="center"/>
    </xf>
    <xf numFmtId="4" fontId="4" fillId="5" borderId="8" xfId="0" applyNumberFormat="1" applyFont="1" applyFill="1" applyBorder="1" applyAlignment="1">
      <alignment horizontal="right" vertical="center"/>
    </xf>
    <xf numFmtId="168" fontId="4" fillId="5" borderId="8" xfId="0" applyNumberFormat="1" applyFont="1" applyFill="1" applyBorder="1" applyAlignment="1">
      <alignment horizontal="right" vertical="center"/>
    </xf>
    <xf numFmtId="0" fontId="4" fillId="5" borderId="8" xfId="0" applyFont="1" applyFill="1" applyBorder="1" applyAlignment="1">
      <alignment vertical="center" wrapText="1"/>
    </xf>
    <xf numFmtId="175" fontId="29" fillId="5" borderId="8" xfId="11" applyNumberFormat="1" applyFont="1" applyFill="1" applyBorder="1" applyAlignment="1" applyProtection="1">
      <alignment horizontal="right" vertical="center" wrapText="1"/>
    </xf>
    <xf numFmtId="176" fontId="29" fillId="5" borderId="8" xfId="11" applyNumberFormat="1" applyFont="1" applyFill="1" applyBorder="1" applyAlignment="1" applyProtection="1">
      <alignment horizontal="righ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vertical="center" wrapText="1"/>
    </xf>
    <xf numFmtId="167" fontId="4" fillId="5" borderId="1" xfId="0" applyNumberFormat="1" applyFont="1" applyFill="1" applyBorder="1" applyAlignment="1">
      <alignment horizontal="right" vertical="center"/>
    </xf>
    <xf numFmtId="173" fontId="4" fillId="5" borderId="8" xfId="12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/>
    </xf>
    <xf numFmtId="41" fontId="29" fillId="5" borderId="8" xfId="11" applyFont="1" applyFill="1" applyBorder="1" applyAlignment="1" applyProtection="1">
      <alignment horizontal="right" vertical="center" wrapText="1"/>
    </xf>
    <xf numFmtId="2" fontId="2" fillId="5" borderId="8" xfId="0" applyNumberFormat="1" applyFont="1" applyFill="1" applyBorder="1" applyAlignment="1">
      <alignment horizontal="right" vertical="center"/>
    </xf>
    <xf numFmtId="2" fontId="29" fillId="5" borderId="8" xfId="0" applyNumberFormat="1" applyFont="1" applyFill="1" applyBorder="1" applyAlignment="1">
      <alignment horizontal="right" vertical="center" wrapText="1"/>
    </xf>
    <xf numFmtId="2" fontId="4" fillId="5" borderId="8" xfId="0" applyNumberFormat="1" applyFont="1" applyFill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3" fillId="5" borderId="8" xfId="0" applyFont="1" applyFill="1" applyBorder="1" applyAlignment="1">
      <alignment horizontal="right" vertical="center"/>
    </xf>
    <xf numFmtId="168" fontId="3" fillId="5" borderId="8" xfId="0" applyNumberFormat="1" applyFont="1" applyFill="1" applyBorder="1" applyAlignment="1">
      <alignment horizontal="right" vertical="center"/>
    </xf>
    <xf numFmtId="3" fontId="5" fillId="5" borderId="8" xfId="0" applyNumberFormat="1" applyFont="1" applyFill="1" applyBorder="1" applyAlignment="1">
      <alignment horizontal="right" vertical="center"/>
    </xf>
    <xf numFmtId="0" fontId="5" fillId="5" borderId="8" xfId="0" applyFont="1" applyFill="1" applyBorder="1" applyAlignment="1">
      <alignment horizontal="right" vertical="center"/>
    </xf>
    <xf numFmtId="168" fontId="5" fillId="5" borderId="8" xfId="0" applyNumberFormat="1" applyFont="1" applyFill="1" applyBorder="1" applyAlignment="1">
      <alignment horizontal="right" vertical="center"/>
    </xf>
    <xf numFmtId="173" fontId="2" fillId="5" borderId="8" xfId="12" applyNumberFormat="1" applyFont="1" applyFill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2" fontId="21" fillId="0" borderId="8" xfId="0" applyNumberFormat="1" applyFont="1" applyBorder="1" applyAlignment="1">
      <alignment horizontal="right" vertical="center"/>
    </xf>
    <xf numFmtId="4" fontId="21" fillId="0" borderId="8" xfId="0" applyNumberFormat="1" applyFont="1" applyBorder="1" applyAlignment="1">
      <alignment horizontal="right" vertical="center"/>
    </xf>
    <xf numFmtId="3" fontId="12" fillId="0" borderId="8" xfId="0" applyNumberFormat="1" applyFont="1" applyBorder="1" applyAlignment="1">
      <alignment horizontal="right" vertical="center"/>
    </xf>
    <xf numFmtId="168" fontId="13" fillId="0" borderId="8" xfId="0" applyNumberFormat="1" applyFont="1" applyBorder="1" applyAlignment="1">
      <alignment horizontal="right" vertical="center"/>
    </xf>
    <xf numFmtId="167" fontId="13" fillId="0" borderId="8" xfId="0" applyNumberFormat="1" applyFont="1" applyBorder="1" applyAlignment="1">
      <alignment horizontal="right" vertical="center"/>
    </xf>
    <xf numFmtId="4" fontId="13" fillId="0" borderId="8" xfId="0" applyNumberFormat="1" applyFont="1" applyBorder="1" applyAlignment="1">
      <alignment horizontal="right" vertical="center"/>
    </xf>
    <xf numFmtId="3" fontId="13" fillId="8" borderId="8" xfId="0" applyNumberFormat="1" applyFont="1" applyFill="1" applyBorder="1" applyAlignment="1">
      <alignment horizontal="right" vertical="center"/>
    </xf>
    <xf numFmtId="4" fontId="3" fillId="5" borderId="8" xfId="0" applyNumberFormat="1" applyFont="1" applyFill="1" applyBorder="1" applyAlignment="1">
      <alignment horizontal="right" vertical="center"/>
    </xf>
    <xf numFmtId="4" fontId="5" fillId="5" borderId="8" xfId="0" applyNumberFormat="1" applyFont="1" applyFill="1" applyBorder="1" applyAlignment="1">
      <alignment horizontal="right" vertical="center"/>
    </xf>
    <xf numFmtId="173" fontId="2" fillId="5" borderId="8" xfId="0" applyNumberFormat="1" applyFont="1" applyFill="1" applyBorder="1" applyAlignment="1">
      <alignment horizontal="right" vertical="center"/>
    </xf>
    <xf numFmtId="168" fontId="2" fillId="0" borderId="8" xfId="0" applyNumberFormat="1" applyFont="1" applyBorder="1" applyAlignment="1">
      <alignment horizontal="right" vertical="center"/>
    </xf>
    <xf numFmtId="3" fontId="29" fillId="5" borderId="8" xfId="0" applyNumberFormat="1" applyFont="1" applyFill="1" applyBorder="1" applyAlignment="1">
      <alignment horizontal="right" vertical="center" wrapText="1"/>
    </xf>
    <xf numFmtId="168" fontId="21" fillId="0" borderId="8" xfId="0" applyNumberFormat="1" applyFont="1" applyBorder="1" applyAlignment="1">
      <alignment horizontal="right" vertical="center"/>
    </xf>
    <xf numFmtId="2" fontId="8" fillId="0" borderId="7" xfId="0" applyNumberFormat="1" applyFont="1" applyBorder="1" applyAlignment="1">
      <alignment horizontal="right" vertical="center"/>
    </xf>
    <xf numFmtId="2" fontId="21" fillId="0" borderId="7" xfId="0" applyNumberFormat="1" applyFont="1" applyBorder="1" applyAlignment="1">
      <alignment horizontal="right" vertical="center"/>
    </xf>
    <xf numFmtId="2" fontId="2" fillId="0" borderId="7" xfId="0" applyNumberFormat="1" applyFont="1" applyBorder="1" applyAlignment="1">
      <alignment horizontal="right" vertical="center"/>
    </xf>
    <xf numFmtId="2" fontId="2" fillId="5" borderId="7" xfId="0" applyNumberFormat="1" applyFont="1" applyFill="1" applyBorder="1" applyAlignment="1">
      <alignment horizontal="right" vertical="center"/>
    </xf>
    <xf numFmtId="168" fontId="29" fillId="5" borderId="8" xfId="0" applyNumberFormat="1" applyFont="1" applyFill="1" applyBorder="1" applyAlignment="1">
      <alignment horizontal="right" vertical="center" wrapText="1"/>
    </xf>
    <xf numFmtId="168" fontId="12" fillId="0" borderId="8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6" fontId="8" fillId="0" borderId="0" xfId="11" applyNumberFormat="1" applyFont="1" applyFill="1" applyBorder="1" applyAlignment="1">
      <alignment horizontal="right" vertical="center"/>
    </xf>
    <xf numFmtId="176" fontId="10" fillId="0" borderId="0" xfId="11" applyNumberFormat="1" applyFont="1" applyFill="1" applyBorder="1" applyAlignment="1" applyProtection="1">
      <alignment horizontal="right" vertical="center" wrapText="1"/>
    </xf>
    <xf numFmtId="176" fontId="2" fillId="0" borderId="0" xfId="11" applyNumberFormat="1" applyFont="1" applyFill="1" applyBorder="1" applyAlignment="1">
      <alignment vertical="center"/>
    </xf>
    <xf numFmtId="176" fontId="8" fillId="0" borderId="0" xfId="11" applyNumberFormat="1" applyFont="1" applyFill="1" applyBorder="1" applyAlignment="1">
      <alignment vertical="center"/>
    </xf>
    <xf numFmtId="176" fontId="2" fillId="0" borderId="0" xfId="0" applyNumberFormat="1" applyFont="1" applyAlignment="1">
      <alignment vertical="center"/>
    </xf>
    <xf numFmtId="168" fontId="2" fillId="4" borderId="0" xfId="0" applyNumberFormat="1" applyFont="1" applyFill="1" applyAlignment="1">
      <alignment horizontal="right" vertical="center"/>
    </xf>
    <xf numFmtId="4" fontId="2" fillId="4" borderId="0" xfId="0" applyNumberFormat="1" applyFont="1" applyFill="1" applyAlignment="1">
      <alignment horizontal="right" vertical="center"/>
    </xf>
    <xf numFmtId="168" fontId="11" fillId="0" borderId="0" xfId="0" applyNumberFormat="1" applyFont="1" applyAlignment="1">
      <alignment horizontal="right" vertical="center"/>
    </xf>
    <xf numFmtId="168" fontId="2" fillId="0" borderId="0" xfId="0" applyNumberFormat="1" applyFont="1" applyAlignment="1">
      <alignment horizontal="center" vertical="center" wrapText="1"/>
    </xf>
    <xf numFmtId="173" fontId="4" fillId="5" borderId="8" xfId="0" applyNumberFormat="1" applyFont="1" applyFill="1" applyBorder="1" applyAlignment="1">
      <alignment horizontal="right" vertical="center"/>
    </xf>
    <xf numFmtId="2" fontId="4" fillId="5" borderId="7" xfId="0" applyNumberFormat="1" applyFont="1" applyFill="1" applyBorder="1" applyAlignment="1">
      <alignment horizontal="right" vertical="center"/>
    </xf>
    <xf numFmtId="177" fontId="12" fillId="9" borderId="0" xfId="0" applyNumberFormat="1" applyFont="1" applyFill="1" applyAlignment="1">
      <alignment vertical="center"/>
    </xf>
    <xf numFmtId="176" fontId="4" fillId="0" borderId="0" xfId="11" applyNumberFormat="1" applyFont="1" applyFill="1" applyBorder="1" applyAlignment="1">
      <alignment vertical="center"/>
    </xf>
    <xf numFmtId="176" fontId="11" fillId="0" borderId="0" xfId="11" applyNumberFormat="1" applyFont="1" applyFill="1" applyBorder="1" applyAlignment="1">
      <alignment vertical="center"/>
    </xf>
    <xf numFmtId="1" fontId="8" fillId="0" borderId="8" xfId="0" applyNumberFormat="1" applyFont="1" applyBorder="1" applyAlignment="1">
      <alignment horizontal="right" vertical="center"/>
    </xf>
    <xf numFmtId="1" fontId="14" fillId="0" borderId="8" xfId="0" applyNumberFormat="1" applyFont="1" applyBorder="1" applyAlignment="1">
      <alignment horizontal="right" vertical="center"/>
    </xf>
    <xf numFmtId="1" fontId="21" fillId="0" borderId="8" xfId="0" applyNumberFormat="1" applyFont="1" applyBorder="1" applyAlignment="1">
      <alignment horizontal="right" vertical="center"/>
    </xf>
    <xf numFmtId="2" fontId="14" fillId="0" borderId="7" xfId="0" applyNumberFormat="1" applyFont="1" applyBorder="1" applyAlignment="1">
      <alignment horizontal="right" vertical="center"/>
    </xf>
    <xf numFmtId="2" fontId="14" fillId="0" borderId="8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3" fillId="5" borderId="8" xfId="0" applyFont="1" applyFill="1" applyBorder="1" applyAlignment="1">
      <alignment vertical="center" wrapText="1"/>
    </xf>
    <xf numFmtId="0" fontId="6" fillId="10" borderId="8" xfId="1" applyFont="1" applyFill="1" applyBorder="1" applyAlignment="1">
      <alignment horizontal="left" vertical="center"/>
    </xf>
    <xf numFmtId="0" fontId="2" fillId="11" borderId="8" xfId="0" applyFont="1" applyFill="1" applyBorder="1" applyAlignment="1">
      <alignment vertical="center" wrapText="1"/>
    </xf>
    <xf numFmtId="0" fontId="9" fillId="11" borderId="8" xfId="0" applyFont="1" applyFill="1" applyBorder="1" applyAlignment="1">
      <alignment horizontal="left" vertical="center" wrapText="1"/>
    </xf>
    <xf numFmtId="0" fontId="6" fillId="5" borderId="8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5" borderId="5" xfId="0" applyFont="1" applyFill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vertical="center" wrapText="1"/>
    </xf>
    <xf numFmtId="0" fontId="3" fillId="8" borderId="15" xfId="0" applyFont="1" applyFill="1" applyBorder="1" applyAlignment="1">
      <alignment vertical="center" wrapText="1"/>
    </xf>
    <xf numFmtId="0" fontId="14" fillId="8" borderId="11" xfId="0" applyFont="1" applyFill="1" applyBorder="1" applyAlignment="1">
      <alignment vertical="center" wrapText="1"/>
    </xf>
    <xf numFmtId="0" fontId="14" fillId="8" borderId="13" xfId="0" applyFont="1" applyFill="1" applyBorder="1" applyAlignment="1">
      <alignment vertical="center" wrapText="1"/>
    </xf>
    <xf numFmtId="0" fontId="7" fillId="0" borderId="15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0" fontId="14" fillId="8" borderId="12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vertical="center" wrapText="1"/>
    </xf>
    <xf numFmtId="0" fontId="8" fillId="0" borderId="1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167" fontId="8" fillId="0" borderId="1" xfId="0" applyNumberFormat="1" applyFont="1" applyBorder="1" applyAlignment="1">
      <alignment horizontal="right" vertical="center"/>
    </xf>
    <xf numFmtId="4" fontId="8" fillId="0" borderId="15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3" fontId="13" fillId="0" borderId="15" xfId="0" applyNumberFormat="1" applyFont="1" applyBorder="1" applyAlignment="1">
      <alignment horizontal="right" vertical="center"/>
    </xf>
    <xf numFmtId="3" fontId="13" fillId="0" borderId="9" xfId="0" applyNumberFormat="1" applyFont="1" applyBorder="1" applyAlignment="1">
      <alignment horizontal="right" vertical="center"/>
    </xf>
    <xf numFmtId="0" fontId="10" fillId="2" borderId="7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167" fontId="14" fillId="0" borderId="2" xfId="0" applyNumberFormat="1" applyFont="1" applyBorder="1" applyAlignment="1">
      <alignment vertical="center"/>
    </xf>
    <xf numFmtId="4" fontId="8" fillId="0" borderId="12" xfId="0" applyNumberFormat="1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0" fontId="3" fillId="5" borderId="2" xfId="0" applyFont="1" applyFill="1" applyBorder="1" applyAlignment="1">
      <alignment vertical="center" wrapText="1"/>
    </xf>
    <xf numFmtId="0" fontId="6" fillId="5" borderId="1" xfId="1" applyFont="1" applyFill="1" applyBorder="1" applyAlignment="1">
      <alignment horizontal="left" vertical="center"/>
    </xf>
    <xf numFmtId="0" fontId="3" fillId="5" borderId="12" xfId="0" applyFont="1" applyFill="1" applyBorder="1" applyAlignment="1">
      <alignment vertical="center" wrapText="1"/>
    </xf>
    <xf numFmtId="0" fontId="8" fillId="12" borderId="8" xfId="0" applyFont="1" applyFill="1" applyBorder="1" applyAlignment="1">
      <alignment horizontal="center" vertical="center"/>
    </xf>
    <xf numFmtId="0" fontId="6" fillId="13" borderId="8" xfId="1" applyFont="1" applyFill="1" applyBorder="1" applyAlignment="1">
      <alignment horizontal="left" vertical="center"/>
    </xf>
    <xf numFmtId="0" fontId="2" fillId="12" borderId="8" xfId="0" applyFont="1" applyFill="1" applyBorder="1" applyAlignment="1">
      <alignment vertical="center" wrapText="1"/>
    </xf>
    <xf numFmtId="0" fontId="9" fillId="12" borderId="8" xfId="0" applyFont="1" applyFill="1" applyBorder="1" applyAlignment="1">
      <alignment horizontal="left" vertical="center" wrapText="1"/>
    </xf>
    <xf numFmtId="0" fontId="11" fillId="12" borderId="8" xfId="0" applyFont="1" applyFill="1" applyBorder="1" applyAlignment="1">
      <alignment vertical="center" wrapText="1"/>
    </xf>
    <xf numFmtId="3" fontId="13" fillId="12" borderId="8" xfId="0" applyNumberFormat="1" applyFont="1" applyFill="1" applyBorder="1" applyAlignment="1">
      <alignment horizontal="right" vertical="center"/>
    </xf>
    <xf numFmtId="0" fontId="13" fillId="12" borderId="8" xfId="0" applyFont="1" applyFill="1" applyBorder="1" applyAlignment="1">
      <alignment horizontal="right" vertical="center"/>
    </xf>
    <xf numFmtId="168" fontId="13" fillId="12" borderId="8" xfId="0" applyNumberFormat="1" applyFont="1" applyFill="1" applyBorder="1" applyAlignment="1">
      <alignment horizontal="right" vertical="center"/>
    </xf>
    <xf numFmtId="0" fontId="8" fillId="12" borderId="8" xfId="0" applyFont="1" applyFill="1" applyBorder="1" applyAlignment="1">
      <alignment horizontal="right" vertical="center"/>
    </xf>
    <xf numFmtId="168" fontId="8" fillId="12" borderId="8" xfId="0" applyNumberFormat="1" applyFont="1" applyFill="1" applyBorder="1" applyAlignment="1">
      <alignment horizontal="right" vertical="center"/>
    </xf>
    <xf numFmtId="3" fontId="8" fillId="12" borderId="8" xfId="0" applyNumberFormat="1" applyFont="1" applyFill="1" applyBorder="1" applyAlignment="1">
      <alignment horizontal="right" vertical="center"/>
    </xf>
    <xf numFmtId="2" fontId="8" fillId="12" borderId="8" xfId="0" applyNumberFormat="1" applyFont="1" applyFill="1" applyBorder="1" applyAlignment="1">
      <alignment horizontal="right" vertical="center"/>
    </xf>
    <xf numFmtId="4" fontId="8" fillId="12" borderId="8" xfId="0" applyNumberFormat="1" applyFont="1" applyFill="1" applyBorder="1" applyAlignment="1">
      <alignment horizontal="right" vertical="center"/>
    </xf>
    <xf numFmtId="1" fontId="8" fillId="12" borderId="8" xfId="0" applyNumberFormat="1" applyFont="1" applyFill="1" applyBorder="1" applyAlignment="1">
      <alignment horizontal="right" vertical="center"/>
    </xf>
    <xf numFmtId="3" fontId="2" fillId="12" borderId="8" xfId="0" applyNumberFormat="1" applyFont="1" applyFill="1" applyBorder="1" applyAlignment="1">
      <alignment horizontal="right" vertical="center"/>
    </xf>
    <xf numFmtId="2" fontId="8" fillId="12" borderId="7" xfId="0" applyNumberFormat="1" applyFont="1" applyFill="1" applyBorder="1" applyAlignment="1">
      <alignment horizontal="right" vertical="center"/>
    </xf>
    <xf numFmtId="0" fontId="7" fillId="12" borderId="8" xfId="1" applyFont="1" applyFill="1" applyBorder="1" applyAlignment="1">
      <alignment horizontal="left" vertical="center"/>
    </xf>
    <xf numFmtId="0" fontId="14" fillId="12" borderId="8" xfId="0" applyFont="1" applyFill="1" applyBorder="1" applyAlignment="1">
      <alignment vertical="center" wrapText="1"/>
    </xf>
    <xf numFmtId="0" fontId="6" fillId="12" borderId="8" xfId="1" applyFont="1" applyFill="1" applyBorder="1" applyAlignment="1">
      <alignment horizontal="left" vertical="center"/>
    </xf>
    <xf numFmtId="0" fontId="3" fillId="12" borderId="8" xfId="0" applyFont="1" applyFill="1" applyBorder="1" applyAlignment="1">
      <alignment vertical="center" wrapText="1"/>
    </xf>
    <xf numFmtId="0" fontId="8" fillId="12" borderId="8" xfId="0" applyFont="1" applyFill="1" applyBorder="1" applyAlignment="1">
      <alignment vertical="center" wrapText="1"/>
    </xf>
    <xf numFmtId="0" fontId="2" fillId="12" borderId="8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left" vertical="center" wrapText="1"/>
    </xf>
    <xf numFmtId="0" fontId="4" fillId="12" borderId="8" xfId="0" applyFont="1" applyFill="1" applyBorder="1" applyAlignment="1">
      <alignment vertical="center" wrapText="1"/>
    </xf>
    <xf numFmtId="0" fontId="2" fillId="12" borderId="1" xfId="0" applyFont="1" applyFill="1" applyBorder="1" applyAlignment="1">
      <alignment horizontal="center" vertical="center"/>
    </xf>
    <xf numFmtId="0" fontId="12" fillId="12" borderId="8" xfId="0" applyFont="1" applyFill="1" applyBorder="1" applyAlignment="1">
      <alignment horizontal="right" vertical="center"/>
    </xf>
    <xf numFmtId="3" fontId="12" fillId="12" borderId="8" xfId="0" applyNumberFormat="1" applyFont="1" applyFill="1" applyBorder="1" applyAlignment="1">
      <alignment horizontal="right" vertical="center"/>
    </xf>
    <xf numFmtId="168" fontId="12" fillId="12" borderId="8" xfId="0" applyNumberFormat="1" applyFont="1" applyFill="1" applyBorder="1" applyAlignment="1">
      <alignment horizontal="right" vertical="center"/>
    </xf>
    <xf numFmtId="0" fontId="2" fillId="12" borderId="8" xfId="0" applyFont="1" applyFill="1" applyBorder="1" applyAlignment="1">
      <alignment horizontal="right" vertical="center"/>
    </xf>
    <xf numFmtId="4" fontId="2" fillId="12" borderId="8" xfId="0" applyNumberFormat="1" applyFont="1" applyFill="1" applyBorder="1" applyAlignment="1">
      <alignment horizontal="right" vertical="center"/>
    </xf>
    <xf numFmtId="0" fontId="2" fillId="12" borderId="1" xfId="0" applyFont="1" applyFill="1" applyBorder="1" applyAlignment="1">
      <alignment horizontal="right" vertical="center"/>
    </xf>
    <xf numFmtId="4" fontId="2" fillId="12" borderId="1" xfId="0" applyNumberFormat="1" applyFont="1" applyFill="1" applyBorder="1" applyAlignment="1">
      <alignment horizontal="right" vertical="center"/>
    </xf>
    <xf numFmtId="3" fontId="2" fillId="12" borderId="1" xfId="0" applyNumberFormat="1" applyFont="1" applyFill="1" applyBorder="1" applyAlignment="1">
      <alignment horizontal="right" vertical="center"/>
    </xf>
    <xf numFmtId="168" fontId="2" fillId="12" borderId="8" xfId="0" applyNumberFormat="1" applyFont="1" applyFill="1" applyBorder="1" applyAlignment="1">
      <alignment horizontal="right" vertical="center"/>
    </xf>
    <xf numFmtId="2" fontId="2" fillId="12" borderId="8" xfId="0" applyNumberFormat="1" applyFont="1" applyFill="1" applyBorder="1" applyAlignment="1">
      <alignment horizontal="right" vertical="center"/>
    </xf>
    <xf numFmtId="0" fontId="2" fillId="12" borderId="7" xfId="0" applyFont="1" applyFill="1" applyBorder="1" applyAlignment="1">
      <alignment horizontal="right" vertical="center"/>
    </xf>
    <xf numFmtId="2" fontId="2" fillId="12" borderId="7" xfId="0" applyNumberFormat="1" applyFont="1" applyFill="1" applyBorder="1" applyAlignment="1">
      <alignment horizontal="right" vertical="center"/>
    </xf>
    <xf numFmtId="0" fontId="3" fillId="12" borderId="5" xfId="0" applyFont="1" applyFill="1" applyBorder="1" applyAlignment="1">
      <alignment vertical="center" wrapText="1"/>
    </xf>
    <xf numFmtId="0" fontId="8" fillId="12" borderId="7" xfId="0" applyFont="1" applyFill="1" applyBorder="1" applyAlignment="1">
      <alignment horizontal="right" vertical="center"/>
    </xf>
    <xf numFmtId="0" fontId="2" fillId="12" borderId="1" xfId="0" applyFont="1" applyFill="1" applyBorder="1" applyAlignment="1">
      <alignment vertical="center"/>
    </xf>
    <xf numFmtId="0" fontId="3" fillId="12" borderId="1" xfId="0" applyFont="1" applyFill="1" applyBorder="1" applyAlignment="1">
      <alignment vertical="center" wrapText="1"/>
    </xf>
    <xf numFmtId="0" fontId="9" fillId="12" borderId="15" xfId="0" applyFont="1" applyFill="1" applyBorder="1" applyAlignment="1">
      <alignment horizontal="left" vertical="center" wrapText="1"/>
    </xf>
    <xf numFmtId="0" fontId="2" fillId="12" borderId="8" xfId="0" applyFont="1" applyFill="1" applyBorder="1" applyAlignment="1">
      <alignment vertical="center"/>
    </xf>
    <xf numFmtId="0" fontId="2" fillId="11" borderId="8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vertical="center" wrapText="1"/>
    </xf>
    <xf numFmtId="0" fontId="4" fillId="11" borderId="8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right" vertical="center"/>
    </xf>
    <xf numFmtId="3" fontId="4" fillId="11" borderId="8" xfId="0" applyNumberFormat="1" applyFont="1" applyFill="1" applyBorder="1" applyAlignment="1">
      <alignment horizontal="right" vertical="center"/>
    </xf>
    <xf numFmtId="2" fontId="4" fillId="11" borderId="8" xfId="0" applyNumberFormat="1" applyFont="1" applyFill="1" applyBorder="1" applyAlignment="1">
      <alignment horizontal="right" vertical="center"/>
    </xf>
    <xf numFmtId="4" fontId="4" fillId="11" borderId="8" xfId="0" applyNumberFormat="1" applyFont="1" applyFill="1" applyBorder="1" applyAlignment="1">
      <alignment horizontal="right" vertical="center"/>
    </xf>
    <xf numFmtId="0" fontId="2" fillId="11" borderId="8" xfId="0" applyFont="1" applyFill="1" applyBorder="1" applyAlignment="1">
      <alignment horizontal="right" vertical="center"/>
    </xf>
    <xf numFmtId="3" fontId="2" fillId="11" borderId="8" xfId="0" applyNumberFormat="1" applyFont="1" applyFill="1" applyBorder="1" applyAlignment="1">
      <alignment horizontal="right" vertical="center"/>
    </xf>
    <xf numFmtId="168" fontId="4" fillId="11" borderId="8" xfId="0" applyNumberFormat="1" applyFont="1" applyFill="1" applyBorder="1" applyAlignment="1">
      <alignment horizontal="right" vertical="center"/>
    </xf>
    <xf numFmtId="2" fontId="2" fillId="11" borderId="7" xfId="0" applyNumberFormat="1" applyFont="1" applyFill="1" applyBorder="1" applyAlignment="1">
      <alignment horizontal="right" vertical="center"/>
    </xf>
    <xf numFmtId="2" fontId="29" fillId="11" borderId="8" xfId="0" applyNumberFormat="1" applyFont="1" applyFill="1" applyBorder="1" applyAlignment="1">
      <alignment horizontal="right" vertical="center" wrapText="1"/>
    </xf>
    <xf numFmtId="0" fontId="29" fillId="11" borderId="8" xfId="0" applyFont="1" applyFill="1" applyBorder="1" applyAlignment="1">
      <alignment horizontal="right" vertical="center" wrapText="1"/>
    </xf>
    <xf numFmtId="0" fontId="6" fillId="11" borderId="8" xfId="1" applyFont="1" applyFill="1" applyBorder="1" applyAlignment="1">
      <alignment horizontal="left" vertical="center"/>
    </xf>
    <xf numFmtId="0" fontId="3" fillId="11" borderId="8" xfId="0" applyFont="1" applyFill="1" applyBorder="1" applyAlignment="1">
      <alignment vertical="center" wrapText="1"/>
    </xf>
    <xf numFmtId="3" fontId="5" fillId="11" borderId="8" xfId="0" applyNumberFormat="1" applyFont="1" applyFill="1" applyBorder="1" applyAlignment="1">
      <alignment horizontal="right" vertical="center"/>
    </xf>
    <xf numFmtId="0" fontId="5" fillId="11" borderId="8" xfId="0" applyFont="1" applyFill="1" applyBorder="1" applyAlignment="1">
      <alignment horizontal="right" vertical="center"/>
    </xf>
    <xf numFmtId="4" fontId="5" fillId="11" borderId="8" xfId="0" applyNumberFormat="1" applyFont="1" applyFill="1" applyBorder="1" applyAlignment="1">
      <alignment horizontal="right" vertical="center"/>
    </xf>
    <xf numFmtId="167" fontId="4" fillId="11" borderId="8" xfId="0" applyNumberFormat="1" applyFont="1" applyFill="1" applyBorder="1" applyAlignment="1">
      <alignment horizontal="right" vertical="center"/>
    </xf>
    <xf numFmtId="2" fontId="2" fillId="11" borderId="8" xfId="0" applyNumberFormat="1" applyFont="1" applyFill="1" applyBorder="1" applyAlignment="1">
      <alignment horizontal="right" vertical="center"/>
    </xf>
    <xf numFmtId="2" fontId="4" fillId="11" borderId="7" xfId="0" applyNumberFormat="1" applyFont="1" applyFill="1" applyBorder="1" applyAlignment="1">
      <alignment horizontal="right" vertical="center"/>
    </xf>
    <xf numFmtId="168" fontId="5" fillId="11" borderId="8" xfId="0" applyNumberFormat="1" applyFont="1" applyFill="1" applyBorder="1" applyAlignment="1">
      <alignment horizontal="right" vertical="center"/>
    </xf>
    <xf numFmtId="0" fontId="2" fillId="11" borderId="8" xfId="0" applyFont="1" applyFill="1" applyBorder="1" applyAlignment="1">
      <alignment vertical="center"/>
    </xf>
    <xf numFmtId="0" fontId="4" fillId="11" borderId="7" xfId="0" applyFont="1" applyFill="1" applyBorder="1" applyAlignment="1">
      <alignment vertical="center" wrapText="1"/>
    </xf>
    <xf numFmtId="0" fontId="2" fillId="11" borderId="15" xfId="0" applyFont="1" applyFill="1" applyBorder="1" applyAlignment="1">
      <alignment vertical="center"/>
    </xf>
    <xf numFmtId="0" fontId="3" fillId="11" borderId="15" xfId="0" applyFont="1" applyFill="1" applyBorder="1" applyAlignment="1">
      <alignment vertical="center" wrapText="1"/>
    </xf>
    <xf numFmtId="173" fontId="4" fillId="11" borderId="8" xfId="0" applyNumberFormat="1" applyFont="1" applyFill="1" applyBorder="1" applyAlignment="1">
      <alignment horizontal="right" vertical="center"/>
    </xf>
    <xf numFmtId="167" fontId="8" fillId="0" borderId="2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68" fontId="2" fillId="12" borderId="1" xfId="0" applyNumberFormat="1" applyFont="1" applyFill="1" applyBorder="1" applyAlignment="1">
      <alignment horizontal="right" vertical="center"/>
    </xf>
    <xf numFmtId="2" fontId="2" fillId="12" borderId="1" xfId="0" applyNumberFormat="1" applyFont="1" applyFill="1" applyBorder="1" applyAlignment="1">
      <alignment horizontal="right" vertical="center"/>
    </xf>
    <xf numFmtId="1" fontId="8" fillId="12" borderId="1" xfId="0" applyNumberFormat="1" applyFont="1" applyFill="1" applyBorder="1" applyAlignment="1">
      <alignment horizontal="right" vertical="center"/>
    </xf>
    <xf numFmtId="3" fontId="8" fillId="12" borderId="1" xfId="0" applyNumberFormat="1" applyFont="1" applyFill="1" applyBorder="1" applyAlignment="1">
      <alignment horizontal="right" vertical="center"/>
    </xf>
    <xf numFmtId="0" fontId="2" fillId="12" borderId="3" xfId="0" applyFont="1" applyFill="1" applyBorder="1" applyAlignment="1">
      <alignment horizontal="right" vertical="center"/>
    </xf>
    <xf numFmtId="168" fontId="8" fillId="0" borderId="15" xfId="0" applyNumberFormat="1" applyFont="1" applyBorder="1" applyAlignment="1">
      <alignment horizontal="right" vertical="center"/>
    </xf>
    <xf numFmtId="2" fontId="8" fillId="0" borderId="15" xfId="0" applyNumberFormat="1" applyFont="1" applyBorder="1" applyAlignment="1">
      <alignment horizontal="right" vertical="center"/>
    </xf>
    <xf numFmtId="1" fontId="8" fillId="0" borderId="15" xfId="0" applyNumberFormat="1" applyFont="1" applyBorder="1" applyAlignment="1">
      <alignment horizontal="right" vertical="center"/>
    </xf>
    <xf numFmtId="2" fontId="8" fillId="0" borderId="13" xfId="0" applyNumberFormat="1" applyFont="1" applyBorder="1" applyAlignment="1">
      <alignment horizontal="right" vertical="center"/>
    </xf>
    <xf numFmtId="0" fontId="21" fillId="0" borderId="15" xfId="0" applyFont="1" applyBorder="1" applyAlignment="1">
      <alignment horizontal="right" vertical="center"/>
    </xf>
    <xf numFmtId="168" fontId="8" fillId="0" borderId="1" xfId="0" applyNumberFormat="1" applyFont="1" applyBorder="1" applyAlignment="1">
      <alignment horizontal="right" vertical="center"/>
    </xf>
    <xf numFmtId="168" fontId="21" fillId="0" borderId="15" xfId="0" applyNumberFormat="1" applyFont="1" applyBorder="1" applyAlignment="1">
      <alignment horizontal="right" vertical="center"/>
    </xf>
    <xf numFmtId="2" fontId="8" fillId="0" borderId="1" xfId="0" applyNumberFormat="1" applyFont="1" applyBorder="1" applyAlignment="1">
      <alignment horizontal="right" vertical="center"/>
    </xf>
    <xf numFmtId="2" fontId="21" fillId="0" borderId="15" xfId="0" applyNumberFormat="1" applyFont="1" applyBorder="1" applyAlignment="1">
      <alignment horizontal="right" vertical="center"/>
    </xf>
    <xf numFmtId="4" fontId="21" fillId="0" borderId="15" xfId="0" applyNumberFormat="1" applyFont="1" applyBorder="1" applyAlignment="1">
      <alignment horizontal="right" vertical="center"/>
    </xf>
    <xf numFmtId="1" fontId="8" fillId="0" borderId="1" xfId="0" applyNumberFormat="1" applyFont="1" applyBorder="1" applyAlignment="1">
      <alignment horizontal="right" vertical="center"/>
    </xf>
    <xf numFmtId="3" fontId="21" fillId="0" borderId="15" xfId="0" applyNumberFormat="1" applyFont="1" applyBorder="1" applyAlignment="1">
      <alignment horizontal="right" vertical="center"/>
    </xf>
    <xf numFmtId="1" fontId="21" fillId="0" borderId="15" xfId="0" applyNumberFormat="1" applyFont="1" applyBorder="1" applyAlignment="1">
      <alignment horizontal="right" vertical="center"/>
    </xf>
    <xf numFmtId="1" fontId="32" fillId="12" borderId="8" xfId="0" applyNumberFormat="1" applyFont="1" applyFill="1" applyBorder="1" applyAlignment="1">
      <alignment horizontal="right" vertical="center"/>
    </xf>
    <xf numFmtId="177" fontId="12" fillId="0" borderId="0" xfId="0" applyNumberFormat="1" applyFont="1" applyAlignment="1">
      <alignment vertical="center"/>
    </xf>
    <xf numFmtId="0" fontId="21" fillId="0" borderId="1" xfId="0" applyFont="1" applyBorder="1" applyAlignment="1">
      <alignment horizontal="right" vertical="center"/>
    </xf>
    <xf numFmtId="1" fontId="14" fillId="0" borderId="15" xfId="0" applyNumberFormat="1" applyFont="1" applyBorder="1" applyAlignment="1">
      <alignment horizontal="right" vertical="center"/>
    </xf>
    <xf numFmtId="3" fontId="14" fillId="0" borderId="15" xfId="0" applyNumberFormat="1" applyFont="1" applyBorder="1" applyAlignment="1">
      <alignment horizontal="right" vertical="center"/>
    </xf>
    <xf numFmtId="3" fontId="21" fillId="0" borderId="1" xfId="0" applyNumberFormat="1" applyFont="1" applyBorder="1" applyAlignment="1">
      <alignment horizontal="right" vertical="center"/>
    </xf>
    <xf numFmtId="168" fontId="3" fillId="4" borderId="0" xfId="0" applyNumberFormat="1" applyFont="1" applyFill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5" borderId="15" xfId="0" applyFont="1" applyFill="1" applyBorder="1" applyAlignment="1">
      <alignment vertical="center" wrapText="1"/>
    </xf>
    <xf numFmtId="0" fontId="14" fillId="8" borderId="0" xfId="0" applyFont="1" applyFill="1" applyAlignment="1">
      <alignment vertical="center" wrapText="1"/>
    </xf>
    <xf numFmtId="0" fontId="3" fillId="8" borderId="4" xfId="0" applyFont="1" applyFill="1" applyBorder="1" applyAlignment="1">
      <alignment vertical="center" wrapText="1"/>
    </xf>
    <xf numFmtId="0" fontId="14" fillId="8" borderId="14" xfId="0" applyFont="1" applyFill="1" applyBorder="1" applyAlignment="1">
      <alignment vertical="center" wrapText="1"/>
    </xf>
    <xf numFmtId="4" fontId="33" fillId="12" borderId="8" xfId="0" applyNumberFormat="1" applyFont="1" applyFill="1" applyBorder="1" applyAlignment="1">
      <alignment horizontal="right" vertical="center"/>
    </xf>
    <xf numFmtId="167" fontId="33" fillId="12" borderId="1" xfId="0" applyNumberFormat="1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/>
    </xf>
    <xf numFmtId="167" fontId="8" fillId="0" borderId="9" xfId="0" applyNumberFormat="1" applyFont="1" applyBorder="1" applyAlignment="1">
      <alignment horizontal="right" vertical="center"/>
    </xf>
    <xf numFmtId="3" fontId="8" fillId="0" borderId="9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168" fontId="21" fillId="0" borderId="9" xfId="0" applyNumberFormat="1" applyFont="1" applyBorder="1" applyAlignment="1">
      <alignment horizontal="right" vertical="center"/>
    </xf>
    <xf numFmtId="2" fontId="21" fillId="0" borderId="9" xfId="0" applyNumberFormat="1" applyFont="1" applyBorder="1" applyAlignment="1">
      <alignment horizontal="right" vertical="center"/>
    </xf>
    <xf numFmtId="4" fontId="21" fillId="0" borderId="9" xfId="0" applyNumberFormat="1" applyFont="1" applyBorder="1" applyAlignment="1">
      <alignment horizontal="right" vertical="center"/>
    </xf>
    <xf numFmtId="1" fontId="8" fillId="0" borderId="9" xfId="0" applyNumberFormat="1" applyFont="1" applyBorder="1" applyAlignment="1">
      <alignment horizontal="right" vertical="center"/>
    </xf>
    <xf numFmtId="3" fontId="21" fillId="0" borderId="9" xfId="0" applyNumberFormat="1" applyFont="1" applyBorder="1" applyAlignment="1">
      <alignment horizontal="right" vertical="center"/>
    </xf>
    <xf numFmtId="0" fontId="9" fillId="11" borderId="15" xfId="0" applyFont="1" applyFill="1" applyBorder="1" applyAlignment="1">
      <alignment horizontal="left" vertical="center" wrapText="1"/>
    </xf>
    <xf numFmtId="0" fontId="4" fillId="11" borderId="15" xfId="0" applyFont="1" applyFill="1" applyBorder="1" applyAlignment="1">
      <alignment vertical="center" wrapText="1"/>
    </xf>
    <xf numFmtId="0" fontId="4" fillId="11" borderId="15" xfId="0" applyFont="1" applyFill="1" applyBorder="1" applyAlignment="1">
      <alignment horizontal="center" vertical="center"/>
    </xf>
    <xf numFmtId="0" fontId="29" fillId="11" borderId="15" xfId="0" applyFont="1" applyFill="1" applyBorder="1" applyAlignment="1">
      <alignment horizontal="right" vertical="center" wrapText="1"/>
    </xf>
    <xf numFmtId="3" fontId="29" fillId="11" borderId="15" xfId="0" applyNumberFormat="1" applyFont="1" applyFill="1" applyBorder="1" applyAlignment="1">
      <alignment horizontal="right" vertical="center" wrapText="1"/>
    </xf>
    <xf numFmtId="168" fontId="29" fillId="11" borderId="15" xfId="0" applyNumberFormat="1" applyFont="1" applyFill="1" applyBorder="1" applyAlignment="1">
      <alignment horizontal="right" vertical="center" wrapText="1"/>
    </xf>
    <xf numFmtId="175" fontId="29" fillId="11" borderId="15" xfId="11" applyNumberFormat="1" applyFont="1" applyFill="1" applyBorder="1" applyAlignment="1" applyProtection="1">
      <alignment horizontal="right" vertical="center" wrapText="1"/>
    </xf>
    <xf numFmtId="41" fontId="29" fillId="11" borderId="15" xfId="11" applyFont="1" applyFill="1" applyBorder="1" applyAlignment="1" applyProtection="1">
      <alignment horizontal="right" vertical="center" wrapText="1"/>
    </xf>
    <xf numFmtId="176" fontId="29" fillId="11" borderId="15" xfId="11" applyNumberFormat="1" applyFont="1" applyFill="1" applyBorder="1" applyAlignment="1" applyProtection="1">
      <alignment horizontal="right" vertical="center" wrapText="1"/>
    </xf>
    <xf numFmtId="2" fontId="8" fillId="0" borderId="3" xfId="0" applyNumberFormat="1" applyFont="1" applyBorder="1" applyAlignment="1">
      <alignment horizontal="right" vertical="center"/>
    </xf>
    <xf numFmtId="2" fontId="29" fillId="11" borderId="15" xfId="0" applyNumberFormat="1" applyFont="1" applyFill="1" applyBorder="1" applyAlignment="1">
      <alignment horizontal="right" vertical="center" wrapText="1"/>
    </xf>
    <xf numFmtId="4" fontId="4" fillId="11" borderId="15" xfId="0" applyNumberFormat="1" applyFont="1" applyFill="1" applyBorder="1" applyAlignment="1">
      <alignment horizontal="right" vertical="center"/>
    </xf>
    <xf numFmtId="2" fontId="4" fillId="11" borderId="15" xfId="0" applyNumberFormat="1" applyFont="1" applyFill="1" applyBorder="1" applyAlignment="1">
      <alignment horizontal="right" vertical="center"/>
    </xf>
    <xf numFmtId="2" fontId="2" fillId="11" borderId="13" xfId="0" applyNumberFormat="1" applyFont="1" applyFill="1" applyBorder="1" applyAlignment="1">
      <alignment horizontal="right" vertical="center"/>
    </xf>
    <xf numFmtId="0" fontId="14" fillId="8" borderId="10" xfId="0" applyFont="1" applyFill="1" applyBorder="1" applyAlignment="1">
      <alignment vertical="center" wrapText="1"/>
    </xf>
    <xf numFmtId="3" fontId="21" fillId="0" borderId="14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vertical="center" wrapText="1"/>
    </xf>
    <xf numFmtId="167" fontId="4" fillId="11" borderId="1" xfId="0" applyNumberFormat="1" applyFont="1" applyFill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3" fontId="21" fillId="0" borderId="0" xfId="0" applyNumberFormat="1" applyFont="1" applyAlignment="1">
      <alignment horizontal="right" vertical="center"/>
    </xf>
    <xf numFmtId="1" fontId="21" fillId="0" borderId="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4" fontId="8" fillId="0" borderId="12" xfId="0" applyNumberFormat="1" applyFont="1" applyBorder="1" applyAlignment="1">
      <alignment horizontal="right" vertical="center"/>
    </xf>
    <xf numFmtId="3" fontId="21" fillId="0" borderId="12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168" fontId="8" fillId="0" borderId="9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4" fontId="8" fillId="0" borderId="10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2" fontId="8" fillId="0" borderId="2" xfId="0" applyNumberFormat="1" applyFont="1" applyBorder="1" applyAlignment="1">
      <alignment horizontal="right" vertical="center"/>
    </xf>
    <xf numFmtId="4" fontId="8" fillId="0" borderId="2" xfId="0" applyNumberFormat="1" applyFont="1" applyBorder="1" applyAlignment="1">
      <alignment horizontal="right" vertical="center"/>
    </xf>
    <xf numFmtId="168" fontId="8" fillId="12" borderId="1" xfId="0" applyNumberFormat="1" applyFont="1" applyFill="1" applyBorder="1" applyAlignment="1">
      <alignment horizontal="right" vertical="center"/>
    </xf>
    <xf numFmtId="2" fontId="8" fillId="12" borderId="1" xfId="0" applyNumberFormat="1" applyFont="1" applyFill="1" applyBorder="1" applyAlignment="1">
      <alignment horizontal="right" vertical="center"/>
    </xf>
    <xf numFmtId="4" fontId="8" fillId="12" borderId="1" xfId="0" applyNumberFormat="1" applyFont="1" applyFill="1" applyBorder="1" applyAlignment="1">
      <alignment horizontal="right" vertical="center"/>
    </xf>
    <xf numFmtId="0" fontId="8" fillId="12" borderId="3" xfId="0" applyFont="1" applyFill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167" fontId="8" fillId="0" borderId="10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2" fontId="14" fillId="0" borderId="13" xfId="0" applyNumberFormat="1" applyFont="1" applyBorder="1" applyAlignment="1">
      <alignment horizontal="right" vertical="center"/>
    </xf>
    <xf numFmtId="2" fontId="14" fillId="0" borderId="15" xfId="0" applyNumberFormat="1" applyFont="1" applyBorder="1" applyAlignment="1">
      <alignment horizontal="right" vertical="center"/>
    </xf>
    <xf numFmtId="0" fontId="13" fillId="12" borderId="1" xfId="0" applyFont="1" applyFill="1" applyBorder="1" applyAlignment="1">
      <alignment horizontal="right" vertical="center"/>
    </xf>
    <xf numFmtId="3" fontId="13" fillId="12" borderId="1" xfId="0" applyNumberFormat="1" applyFont="1" applyFill="1" applyBorder="1" applyAlignment="1">
      <alignment horizontal="right" vertical="center"/>
    </xf>
    <xf numFmtId="0" fontId="8" fillId="12" borderId="1" xfId="0" applyFont="1" applyFill="1" applyBorder="1" applyAlignment="1">
      <alignment horizontal="right" vertical="center"/>
    </xf>
    <xf numFmtId="0" fontId="4" fillId="11" borderId="15" xfId="0" applyFont="1" applyFill="1" applyBorder="1" applyAlignment="1">
      <alignment horizontal="right" vertical="center"/>
    </xf>
    <xf numFmtId="3" fontId="4" fillId="11" borderId="15" xfId="0" applyNumberFormat="1" applyFont="1" applyFill="1" applyBorder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167" fontId="21" fillId="0" borderId="8" xfId="0" applyNumberFormat="1" applyFont="1" applyBorder="1" applyAlignment="1">
      <alignment horizontal="right" vertical="center"/>
    </xf>
    <xf numFmtId="4" fontId="21" fillId="0" borderId="1" xfId="0" applyNumberFormat="1" applyFont="1" applyBorder="1" applyAlignment="1">
      <alignment horizontal="right" vertical="center"/>
    </xf>
    <xf numFmtId="167" fontId="21" fillId="0" borderId="9" xfId="0" applyNumberFormat="1" applyFont="1" applyBorder="1" applyAlignment="1">
      <alignment horizontal="right" vertical="center"/>
    </xf>
    <xf numFmtId="168" fontId="21" fillId="0" borderId="1" xfId="0" applyNumberFormat="1" applyFont="1" applyBorder="1" applyAlignment="1">
      <alignment horizontal="right" vertical="center"/>
    </xf>
    <xf numFmtId="0" fontId="12" fillId="12" borderId="1" xfId="0" applyFont="1" applyFill="1" applyBorder="1" applyAlignment="1">
      <alignment horizontal="right" vertical="center"/>
    </xf>
    <xf numFmtId="3" fontId="12" fillId="12" borderId="1" xfId="0" applyNumberFormat="1" applyFont="1" applyFill="1" applyBorder="1" applyAlignment="1">
      <alignment horizontal="right" vertical="center"/>
    </xf>
    <xf numFmtId="0" fontId="14" fillId="8" borderId="3" xfId="0" applyFont="1" applyFill="1" applyBorder="1" applyAlignment="1">
      <alignment vertical="center" wrapText="1"/>
    </xf>
    <xf numFmtId="0" fontId="7" fillId="0" borderId="7" xfId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/>
    </xf>
    <xf numFmtId="0" fontId="9" fillId="0" borderId="9" xfId="0" applyFont="1" applyBorder="1" applyAlignment="1">
      <alignment horizontal="left" vertical="center" wrapText="1"/>
    </xf>
    <xf numFmtId="0" fontId="6" fillId="5" borderId="7" xfId="1" applyFont="1" applyFill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9" fillId="0" borderId="1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2" fillId="5" borderId="13" xfId="0" applyFont="1" applyFill="1" applyBorder="1" applyAlignment="1">
      <alignment vertical="center"/>
    </xf>
    <xf numFmtId="0" fontId="8" fillId="0" borderId="7" xfId="0" applyFont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6" fillId="5" borderId="3" xfId="1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167" fontId="11" fillId="0" borderId="8" xfId="0" applyNumberFormat="1" applyFont="1" applyBorder="1" applyAlignment="1">
      <alignment horizontal="right" vertical="center"/>
    </xf>
    <xf numFmtId="0" fontId="10" fillId="2" borderId="11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2" fontId="8" fillId="0" borderId="1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right" vertical="center"/>
    </xf>
    <xf numFmtId="3" fontId="21" fillId="8" borderId="9" xfId="0" applyNumberFormat="1" applyFont="1" applyFill="1" applyBorder="1" applyAlignment="1">
      <alignment horizontal="right" vertical="center"/>
    </xf>
    <xf numFmtId="0" fontId="22" fillId="12" borderId="8" xfId="0" applyFont="1" applyFill="1" applyBorder="1" applyAlignment="1">
      <alignment horizontal="right" vertical="center"/>
    </xf>
    <xf numFmtId="3" fontId="22" fillId="12" borderId="8" xfId="0" applyNumberFormat="1" applyFont="1" applyFill="1" applyBorder="1" applyAlignment="1">
      <alignment horizontal="right" vertical="center"/>
    </xf>
    <xf numFmtId="168" fontId="22" fillId="12" borderId="8" xfId="0" applyNumberFormat="1" applyFont="1" applyFill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168" fontId="14" fillId="0" borderId="9" xfId="0" applyNumberFormat="1" applyFont="1" applyBorder="1" applyAlignment="1">
      <alignment horizontal="right" vertical="center"/>
    </xf>
    <xf numFmtId="2" fontId="14" fillId="0" borderId="9" xfId="0" applyNumberFormat="1" applyFont="1" applyBorder="1" applyAlignment="1">
      <alignment horizontal="right" vertical="center"/>
    </xf>
    <xf numFmtId="1" fontId="14" fillId="0" borderId="9" xfId="0" applyNumberFormat="1" applyFont="1" applyBorder="1" applyAlignment="1">
      <alignment horizontal="right" vertical="center"/>
    </xf>
    <xf numFmtId="3" fontId="14" fillId="0" borderId="9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9" fontId="12" fillId="12" borderId="8" xfId="12" applyFont="1" applyFill="1" applyBorder="1" applyAlignment="1">
      <alignment horizontal="right" vertical="center"/>
    </xf>
    <xf numFmtId="2" fontId="8" fillId="0" borderId="10" xfId="0" applyNumberFormat="1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4" fontId="14" fillId="0" borderId="9" xfId="0" applyNumberFormat="1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2" fontId="4" fillId="11" borderId="8" xfId="12" applyNumberFormat="1" applyFont="1" applyFill="1" applyBorder="1" applyAlignment="1">
      <alignment horizontal="right" vertical="center"/>
    </xf>
    <xf numFmtId="0" fontId="22" fillId="11" borderId="8" xfId="0" applyFont="1" applyFill="1" applyBorder="1" applyAlignment="1">
      <alignment horizontal="right" vertical="center"/>
    </xf>
    <xf numFmtId="3" fontId="22" fillId="11" borderId="8" xfId="0" applyNumberFormat="1" applyFont="1" applyFill="1" applyBorder="1" applyAlignment="1">
      <alignment horizontal="right" vertical="center"/>
    </xf>
    <xf numFmtId="0" fontId="21" fillId="12" borderId="8" xfId="0" applyFont="1" applyFill="1" applyBorder="1" applyAlignment="1">
      <alignment horizontal="right" vertical="center"/>
    </xf>
    <xf numFmtId="3" fontId="21" fillId="12" borderId="8" xfId="0" applyNumberFormat="1" applyFont="1" applyFill="1" applyBorder="1" applyAlignment="1">
      <alignment horizontal="right" vertical="center"/>
    </xf>
    <xf numFmtId="0" fontId="22" fillId="11" borderId="15" xfId="0" applyFont="1" applyFill="1" applyBorder="1" applyAlignment="1">
      <alignment horizontal="left" vertical="center" wrapText="1"/>
    </xf>
    <xf numFmtId="0" fontId="22" fillId="12" borderId="1" xfId="0" applyFont="1" applyFill="1" applyBorder="1" applyAlignment="1">
      <alignment horizontal="right" vertical="center"/>
    </xf>
    <xf numFmtId="3" fontId="22" fillId="12" borderId="1" xfId="0" applyNumberFormat="1" applyFont="1" applyFill="1" applyBorder="1" applyAlignment="1">
      <alignment horizontal="right" vertical="center"/>
    </xf>
    <xf numFmtId="167" fontId="21" fillId="0" borderId="1" xfId="0" applyNumberFormat="1" applyFont="1" applyBorder="1" applyAlignment="1">
      <alignment horizontal="right" vertical="center"/>
    </xf>
    <xf numFmtId="167" fontId="21" fillId="0" borderId="15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 vertical="center"/>
    </xf>
    <xf numFmtId="3" fontId="35" fillId="11" borderId="8" xfId="0" applyNumberFormat="1" applyFont="1" applyFill="1" applyBorder="1" applyAlignment="1">
      <alignment horizontal="right" vertical="center"/>
    </xf>
    <xf numFmtId="167" fontId="36" fillId="11" borderId="8" xfId="0" applyNumberFormat="1" applyFont="1" applyFill="1" applyBorder="1" applyAlignment="1">
      <alignment horizontal="right" vertical="center"/>
    </xf>
    <xf numFmtId="0" fontId="36" fillId="11" borderId="8" xfId="0" applyFont="1" applyFill="1" applyBorder="1" applyAlignment="1">
      <alignment horizontal="right" vertical="center"/>
    </xf>
    <xf numFmtId="0" fontId="21" fillId="0" borderId="13" xfId="0" applyFont="1" applyBorder="1" applyAlignment="1">
      <alignment horizontal="right" vertical="center"/>
    </xf>
    <xf numFmtId="4" fontId="21" fillId="0" borderId="10" xfId="0" applyNumberFormat="1" applyFont="1" applyBorder="1" applyAlignment="1">
      <alignment horizontal="right" vertical="center"/>
    </xf>
    <xf numFmtId="2" fontId="21" fillId="0" borderId="10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168" fontId="14" fillId="0" borderId="1" xfId="0" applyNumberFormat="1" applyFont="1" applyBorder="1" applyAlignment="1">
      <alignment horizontal="right" vertical="center"/>
    </xf>
    <xf numFmtId="2" fontId="14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1" fontId="14" fillId="0" borderId="1" xfId="0" applyNumberFormat="1" applyFont="1" applyBorder="1" applyAlignment="1">
      <alignment horizontal="right" vertical="center"/>
    </xf>
    <xf numFmtId="168" fontId="4" fillId="11" borderId="15" xfId="0" applyNumberFormat="1" applyFont="1" applyFill="1" applyBorder="1" applyAlignment="1">
      <alignment horizontal="right" vertical="center"/>
    </xf>
    <xf numFmtId="0" fontId="3" fillId="8" borderId="11" xfId="0" applyFont="1" applyFill="1" applyBorder="1" applyAlignment="1">
      <alignment vertical="center" wrapText="1"/>
    </xf>
    <xf numFmtId="0" fontId="7" fillId="0" borderId="9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14" fillId="8" borderId="9" xfId="0" applyFont="1" applyFill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2" fillId="11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left" vertical="center" wrapText="1"/>
    </xf>
    <xf numFmtId="0" fontId="5" fillId="11" borderId="1" xfId="0" applyFont="1" applyFill="1" applyBorder="1" applyAlignment="1">
      <alignment horizontal="right" vertical="center"/>
    </xf>
    <xf numFmtId="3" fontId="5" fillId="11" borderId="1" xfId="0" applyNumberFormat="1" applyFont="1" applyFill="1" applyBorder="1" applyAlignment="1">
      <alignment horizontal="right" vertical="center"/>
    </xf>
    <xf numFmtId="168" fontId="5" fillId="11" borderId="1" xfId="0" applyNumberFormat="1" applyFont="1" applyFill="1" applyBorder="1" applyAlignment="1">
      <alignment horizontal="right" vertical="center"/>
    </xf>
    <xf numFmtId="0" fontId="4" fillId="11" borderId="1" xfId="0" applyFont="1" applyFill="1" applyBorder="1" applyAlignment="1">
      <alignment horizontal="right" vertical="center"/>
    </xf>
    <xf numFmtId="0" fontId="22" fillId="11" borderId="1" xfId="0" applyFont="1" applyFill="1" applyBorder="1" applyAlignment="1">
      <alignment horizontal="right" vertical="center"/>
    </xf>
    <xf numFmtId="3" fontId="22" fillId="11" borderId="1" xfId="0" applyNumberFormat="1" applyFont="1" applyFill="1" applyBorder="1" applyAlignment="1">
      <alignment horizontal="right" vertical="center"/>
    </xf>
    <xf numFmtId="0" fontId="2" fillId="11" borderId="1" xfId="0" applyFont="1" applyFill="1" applyBorder="1" applyAlignment="1">
      <alignment horizontal="right" vertical="center"/>
    </xf>
    <xf numFmtId="3" fontId="2" fillId="11" borderId="1" xfId="0" applyNumberFormat="1" applyFont="1" applyFill="1" applyBorder="1" applyAlignment="1">
      <alignment horizontal="right" vertical="center"/>
    </xf>
    <xf numFmtId="168" fontId="4" fillId="11" borderId="1" xfId="0" applyNumberFormat="1" applyFont="1" applyFill="1" applyBorder="1" applyAlignment="1">
      <alignment horizontal="right" vertical="center"/>
    </xf>
    <xf numFmtId="2" fontId="4" fillId="11" borderId="1" xfId="0" applyNumberFormat="1" applyFont="1" applyFill="1" applyBorder="1" applyAlignment="1">
      <alignment horizontal="right" vertical="center"/>
    </xf>
    <xf numFmtId="4" fontId="4" fillId="11" borderId="1" xfId="0" applyNumberFormat="1" applyFont="1" applyFill="1" applyBorder="1" applyAlignment="1">
      <alignment horizontal="right" vertical="center"/>
    </xf>
    <xf numFmtId="2" fontId="2" fillId="11" borderId="1" xfId="0" applyNumberFormat="1" applyFont="1" applyFill="1" applyBorder="1" applyAlignment="1">
      <alignment horizontal="right" vertical="center"/>
    </xf>
    <xf numFmtId="2" fontId="4" fillId="11" borderId="3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8" fontId="21" fillId="0" borderId="0" xfId="0" applyNumberFormat="1" applyFont="1" applyAlignment="1">
      <alignment horizontal="right" vertical="center"/>
    </xf>
    <xf numFmtId="167" fontId="8" fillId="0" borderId="0" xfId="0" applyNumberFormat="1" applyFont="1" applyAlignment="1">
      <alignment horizontal="right" vertical="center"/>
    </xf>
    <xf numFmtId="167" fontId="21" fillId="0" borderId="0" xfId="0" applyNumberFormat="1" applyFont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2" fillId="0" borderId="8" xfId="0" applyFont="1" applyBorder="1" applyAlignment="1">
      <alignment horizontal="right" vertical="center"/>
    </xf>
    <xf numFmtId="4" fontId="22" fillId="0" borderId="8" xfId="0" applyNumberFormat="1" applyFont="1" applyBorder="1" applyAlignment="1">
      <alignment horizontal="right" vertical="center"/>
    </xf>
    <xf numFmtId="167" fontId="35" fillId="0" borderId="8" xfId="0" applyNumberFormat="1" applyFont="1" applyBorder="1" applyAlignment="1">
      <alignment horizontal="right" vertical="center"/>
    </xf>
    <xf numFmtId="168" fontId="22" fillId="0" borderId="1" xfId="0" applyNumberFormat="1" applyFont="1" applyBorder="1" applyAlignment="1">
      <alignment horizontal="right" vertical="center"/>
    </xf>
    <xf numFmtId="2" fontId="22" fillId="0" borderId="1" xfId="0" applyNumberFormat="1" applyFont="1" applyBorder="1" applyAlignment="1">
      <alignment horizontal="right" vertical="center"/>
    </xf>
    <xf numFmtId="4" fontId="22" fillId="0" borderId="1" xfId="0" applyNumberFormat="1" applyFont="1" applyBorder="1" applyAlignment="1">
      <alignment horizontal="right" vertical="center"/>
    </xf>
    <xf numFmtId="1" fontId="22" fillId="0" borderId="1" xfId="0" applyNumberFormat="1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10" fontId="37" fillId="14" borderId="0" xfId="12" applyNumberFormat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right" vertical="center"/>
    </xf>
    <xf numFmtId="0" fontId="3" fillId="11" borderId="8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68" fontId="14" fillId="0" borderId="8" xfId="0" applyNumberFormat="1" applyFont="1" applyBorder="1" applyAlignment="1">
      <alignment horizontal="right" vertical="center"/>
    </xf>
    <xf numFmtId="167" fontId="14" fillId="0" borderId="1" xfId="0" applyNumberFormat="1" applyFont="1" applyBorder="1" applyAlignment="1">
      <alignment horizontal="right" vertical="center"/>
    </xf>
    <xf numFmtId="167" fontId="14" fillId="0" borderId="15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167" fontId="5" fillId="11" borderId="15" xfId="0" applyNumberFormat="1" applyFont="1" applyFill="1" applyBorder="1" applyAlignment="1">
      <alignment horizontal="right" vertical="center" wrapText="1"/>
    </xf>
    <xf numFmtId="2" fontId="4" fillId="11" borderId="13" xfId="0" applyNumberFormat="1" applyFont="1" applyFill="1" applyBorder="1" applyAlignment="1">
      <alignment horizontal="right" vertical="center"/>
    </xf>
    <xf numFmtId="0" fontId="5" fillId="11" borderId="15" xfId="0" applyFont="1" applyFill="1" applyBorder="1" applyAlignment="1">
      <alignment horizontal="right" vertical="center" wrapText="1"/>
    </xf>
    <xf numFmtId="2" fontId="5" fillId="11" borderId="8" xfId="0" applyNumberFormat="1" applyFont="1" applyFill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168" fontId="14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2" fillId="11" borderId="5" xfId="0" applyFont="1" applyFill="1" applyBorder="1" applyAlignment="1">
      <alignment vertical="center" wrapText="1"/>
    </xf>
    <xf numFmtId="0" fontId="2" fillId="12" borderId="5" xfId="0" applyFont="1" applyFill="1" applyBorder="1" applyAlignment="1">
      <alignment vertical="center" wrapText="1"/>
    </xf>
    <xf numFmtId="0" fontId="14" fillId="12" borderId="5" xfId="0" applyFont="1" applyFill="1" applyBorder="1" applyAlignment="1">
      <alignment vertical="center" wrapText="1"/>
    </xf>
    <xf numFmtId="0" fontId="3" fillId="11" borderId="5" xfId="0" applyFont="1" applyFill="1" applyBorder="1" applyAlignment="1">
      <alignment vertical="center" wrapText="1"/>
    </xf>
    <xf numFmtId="0" fontId="3" fillId="8" borderId="5" xfId="0" applyFont="1" applyFill="1" applyBorder="1" applyAlignment="1">
      <alignment horizontal="left" vertical="center" wrapText="1"/>
    </xf>
    <xf numFmtId="0" fontId="3" fillId="8" borderId="12" xfId="0" applyFont="1" applyFill="1" applyBorder="1" applyAlignment="1">
      <alignment vertical="center" wrapText="1"/>
    </xf>
    <xf numFmtId="0" fontId="3" fillId="8" borderId="0" xfId="0" applyFont="1" applyFill="1" applyAlignment="1">
      <alignment vertical="center" wrapText="1"/>
    </xf>
    <xf numFmtId="0" fontId="14" fillId="8" borderId="4" xfId="0" applyFont="1" applyFill="1" applyBorder="1" applyAlignment="1">
      <alignment vertical="center" wrapText="1"/>
    </xf>
    <xf numFmtId="0" fontId="3" fillId="12" borderId="2" xfId="0" applyFont="1" applyFill="1" applyBorder="1" applyAlignment="1">
      <alignment vertical="center" wrapText="1"/>
    </xf>
    <xf numFmtId="0" fontId="3" fillId="11" borderId="12" xfId="0" applyFont="1" applyFill="1" applyBorder="1" applyAlignment="1">
      <alignment vertical="center" wrapText="1"/>
    </xf>
    <xf numFmtId="0" fontId="3" fillId="8" borderId="6" xfId="0" applyFont="1" applyFill="1" applyBorder="1" applyAlignment="1">
      <alignment vertical="center" wrapText="1"/>
    </xf>
    <xf numFmtId="0" fontId="10" fillId="0" borderId="9" xfId="0" applyFont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168" fontId="22" fillId="0" borderId="8" xfId="0" applyNumberFormat="1" applyFont="1" applyBorder="1" applyAlignment="1">
      <alignment horizontal="right" vertical="center"/>
    </xf>
    <xf numFmtId="3" fontId="4" fillId="11" borderId="1" xfId="0" applyNumberFormat="1" applyFont="1" applyFill="1" applyBorder="1" applyAlignment="1">
      <alignment horizontal="right" vertical="center"/>
    </xf>
    <xf numFmtId="167" fontId="5" fillId="11" borderId="8" xfId="0" applyNumberFormat="1" applyFont="1" applyFill="1" applyBorder="1" applyAlignment="1">
      <alignment horizontal="right" vertical="center"/>
    </xf>
    <xf numFmtId="0" fontId="14" fillId="12" borderId="2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left" vertical="center" wrapText="1"/>
    </xf>
    <xf numFmtId="1" fontId="21" fillId="0" borderId="1" xfId="0" applyNumberFormat="1" applyFont="1" applyBorder="1" applyAlignment="1">
      <alignment horizontal="right" vertical="center"/>
    </xf>
    <xf numFmtId="2" fontId="21" fillId="0" borderId="3" xfId="0" applyNumberFormat="1" applyFont="1" applyBorder="1" applyAlignment="1">
      <alignment horizontal="right" vertical="center"/>
    </xf>
    <xf numFmtId="2" fontId="21" fillId="0" borderId="1" xfId="0" applyNumberFormat="1" applyFont="1" applyBorder="1" applyAlignment="1">
      <alignment horizontal="right" vertical="center"/>
    </xf>
    <xf numFmtId="2" fontId="21" fillId="0" borderId="13" xfId="0" applyNumberFormat="1" applyFont="1" applyBorder="1" applyAlignment="1">
      <alignment horizontal="right" vertical="center"/>
    </xf>
    <xf numFmtId="1" fontId="21" fillId="12" borderId="8" xfId="0" applyNumberFormat="1" applyFont="1" applyFill="1" applyBorder="1" applyAlignment="1">
      <alignment horizontal="right" vertical="center"/>
    </xf>
    <xf numFmtId="2" fontId="22" fillId="12" borderId="7" xfId="0" applyNumberFormat="1" applyFont="1" applyFill="1" applyBorder="1" applyAlignment="1">
      <alignment horizontal="right" vertical="center"/>
    </xf>
    <xf numFmtId="4" fontId="22" fillId="12" borderId="8" xfId="0" applyNumberFormat="1" applyFont="1" applyFill="1" applyBorder="1" applyAlignment="1">
      <alignment horizontal="right" vertical="center"/>
    </xf>
    <xf numFmtId="0" fontId="21" fillId="12" borderId="7" xfId="0" applyFont="1" applyFill="1" applyBorder="1" applyAlignment="1">
      <alignment horizontal="right" vertical="center"/>
    </xf>
    <xf numFmtId="3" fontId="21" fillId="0" borderId="2" xfId="0" applyNumberFormat="1" applyFont="1" applyBorder="1" applyAlignment="1">
      <alignment horizontal="right" vertical="center"/>
    </xf>
    <xf numFmtId="4" fontId="21" fillId="0" borderId="0" xfId="0" applyNumberFormat="1" applyFont="1" applyAlignment="1">
      <alignment horizontal="right" vertical="center"/>
    </xf>
    <xf numFmtId="2" fontId="21" fillId="0" borderId="2" xfId="0" applyNumberFormat="1" applyFont="1" applyBorder="1" applyAlignment="1">
      <alignment horizontal="right" vertical="center"/>
    </xf>
    <xf numFmtId="2" fontId="21" fillId="0" borderId="11" xfId="0" applyNumberFormat="1" applyFont="1" applyBorder="1" applyAlignment="1">
      <alignment horizontal="right" vertical="center"/>
    </xf>
    <xf numFmtId="2" fontId="21" fillId="0" borderId="0" xfId="0" applyNumberFormat="1" applyFont="1" applyAlignment="1">
      <alignment horizontal="right" vertical="center"/>
    </xf>
    <xf numFmtId="0" fontId="2" fillId="7" borderId="8" xfId="0" applyFont="1" applyFill="1" applyBorder="1" applyAlignment="1">
      <alignment vertical="center" wrapText="1"/>
    </xf>
    <xf numFmtId="0" fontId="22" fillId="7" borderId="8" xfId="0" applyFont="1" applyFill="1" applyBorder="1" applyAlignment="1">
      <alignment horizontal="right" vertical="center"/>
    </xf>
    <xf numFmtId="3" fontId="22" fillId="7" borderId="8" xfId="0" applyNumberFormat="1" applyFont="1" applyFill="1" applyBorder="1" applyAlignment="1">
      <alignment horizontal="right" vertical="center"/>
    </xf>
    <xf numFmtId="2" fontId="8" fillId="7" borderId="8" xfId="0" applyNumberFormat="1" applyFont="1" applyFill="1" applyBorder="1" applyAlignment="1">
      <alignment horizontal="right" vertical="center"/>
    </xf>
    <xf numFmtId="1" fontId="8" fillId="7" borderId="8" xfId="0" applyNumberFormat="1" applyFont="1" applyFill="1" applyBorder="1" applyAlignment="1">
      <alignment horizontal="right" vertical="center"/>
    </xf>
    <xf numFmtId="3" fontId="8" fillId="7" borderId="8" xfId="0" applyNumberFormat="1" applyFont="1" applyFill="1" applyBorder="1" applyAlignment="1">
      <alignment horizontal="right" vertical="center"/>
    </xf>
    <xf numFmtId="2" fontId="2" fillId="7" borderId="8" xfId="0" applyNumberFormat="1" applyFont="1" applyFill="1" applyBorder="1" applyAlignment="1">
      <alignment horizontal="right" vertical="center"/>
    </xf>
    <xf numFmtId="167" fontId="2" fillId="12" borderId="8" xfId="0" applyNumberFormat="1" applyFont="1" applyFill="1" applyBorder="1" applyAlignment="1">
      <alignment horizontal="right" vertical="center"/>
    </xf>
    <xf numFmtId="41" fontId="2" fillId="12" borderId="8" xfId="11" applyFont="1" applyFill="1" applyBorder="1" applyAlignment="1">
      <alignment horizontal="right" vertical="center"/>
    </xf>
    <xf numFmtId="175" fontId="2" fillId="12" borderId="8" xfId="11" applyNumberFormat="1" applyFont="1" applyFill="1" applyBorder="1" applyAlignment="1">
      <alignment horizontal="right" vertical="center"/>
    </xf>
    <xf numFmtId="179" fontId="2" fillId="12" borderId="8" xfId="11" applyNumberFormat="1" applyFont="1" applyFill="1" applyBorder="1" applyAlignment="1">
      <alignment horizontal="right" vertical="center"/>
    </xf>
    <xf numFmtId="176" fontId="2" fillId="12" borderId="8" xfId="11" applyNumberFormat="1" applyFont="1" applyFill="1" applyBorder="1" applyAlignment="1">
      <alignment horizontal="right" vertical="center"/>
    </xf>
    <xf numFmtId="2" fontId="4" fillId="12" borderId="8" xfId="0" applyNumberFormat="1" applyFont="1" applyFill="1" applyBorder="1" applyAlignment="1">
      <alignment horizontal="right" vertical="center"/>
    </xf>
    <xf numFmtId="4" fontId="4" fillId="12" borderId="8" xfId="0" applyNumberFormat="1" applyFont="1" applyFill="1" applyBorder="1" applyAlignment="1">
      <alignment horizontal="right" vertical="center"/>
    </xf>
    <xf numFmtId="175" fontId="2" fillId="7" borderId="8" xfId="11" applyNumberFormat="1" applyFont="1" applyFill="1" applyBorder="1" applyAlignment="1">
      <alignment horizontal="right" vertical="center"/>
    </xf>
    <xf numFmtId="176" fontId="2" fillId="7" borderId="8" xfId="11" applyNumberFormat="1" applyFont="1" applyFill="1" applyBorder="1" applyAlignment="1">
      <alignment horizontal="right" vertical="center"/>
    </xf>
    <xf numFmtId="175" fontId="2" fillId="12" borderId="1" xfId="11" applyNumberFormat="1" applyFont="1" applyFill="1" applyBorder="1" applyAlignment="1">
      <alignment horizontal="right" vertical="center"/>
    </xf>
    <xf numFmtId="179" fontId="2" fillId="12" borderId="1" xfId="11" applyNumberFormat="1" applyFont="1" applyFill="1" applyBorder="1" applyAlignment="1">
      <alignment horizontal="right" vertical="center"/>
    </xf>
    <xf numFmtId="176" fontId="2" fillId="12" borderId="1" xfId="11" applyNumberFormat="1" applyFont="1" applyFill="1" applyBorder="1" applyAlignment="1">
      <alignment horizontal="right" vertical="center"/>
    </xf>
    <xf numFmtId="178" fontId="2" fillId="12" borderId="8" xfId="0" applyNumberFormat="1" applyFont="1" applyFill="1" applyBorder="1" applyAlignment="1">
      <alignment horizontal="right" vertical="center"/>
    </xf>
    <xf numFmtId="176" fontId="5" fillId="11" borderId="8" xfId="11" applyNumberFormat="1" applyFont="1" applyFill="1" applyBorder="1" applyAlignment="1">
      <alignment horizontal="right" vertical="center"/>
    </xf>
    <xf numFmtId="167" fontId="3" fillId="11" borderId="8" xfId="0" applyNumberFormat="1" applyFont="1" applyFill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41" fontId="2" fillId="12" borderId="1" xfId="1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14" fillId="8" borderId="15" xfId="0" applyFont="1" applyFill="1" applyBorder="1" applyAlignment="1">
      <alignment vertical="center" wrapText="1"/>
    </xf>
    <xf numFmtId="179" fontId="38" fillId="12" borderId="8" xfId="11" applyNumberFormat="1" applyFont="1" applyFill="1" applyBorder="1" applyAlignment="1">
      <alignment horizontal="right" vertical="center"/>
    </xf>
    <xf numFmtId="3" fontId="14" fillId="0" borderId="10" xfId="0" applyNumberFormat="1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4" fontId="14" fillId="0" borderId="10" xfId="0" applyNumberFormat="1" applyFont="1" applyBorder="1" applyAlignment="1">
      <alignment horizontal="right" vertical="center"/>
    </xf>
    <xf numFmtId="167" fontId="14" fillId="0" borderId="10" xfId="0" applyNumberFormat="1" applyFont="1" applyBorder="1" applyAlignment="1">
      <alignment horizontal="right" vertical="center"/>
    </xf>
    <xf numFmtId="3" fontId="14" fillId="0" borderId="12" xfId="0" applyNumberFormat="1" applyFont="1" applyBorder="1" applyAlignment="1">
      <alignment horizontal="right" vertical="center"/>
    </xf>
    <xf numFmtId="167" fontId="14" fillId="0" borderId="12" xfId="0" applyNumberFormat="1" applyFont="1" applyBorder="1" applyAlignment="1">
      <alignment horizontal="right" vertical="center"/>
    </xf>
    <xf numFmtId="3" fontId="5" fillId="11" borderId="15" xfId="0" applyNumberFormat="1" applyFont="1" applyFill="1" applyBorder="1" applyAlignment="1">
      <alignment horizontal="right" vertical="center" wrapText="1"/>
    </xf>
    <xf numFmtId="1" fontId="2" fillId="12" borderId="8" xfId="0" applyNumberFormat="1" applyFont="1" applyFill="1" applyBorder="1" applyAlignment="1">
      <alignment horizontal="right" vertical="center"/>
    </xf>
    <xf numFmtId="179" fontId="3" fillId="11" borderId="8" xfId="11" applyNumberFormat="1" applyFont="1" applyFill="1" applyBorder="1" applyAlignment="1">
      <alignment horizontal="right" vertical="center"/>
    </xf>
    <xf numFmtId="180" fontId="3" fillId="11" borderId="8" xfId="11" applyNumberFormat="1" applyFont="1" applyFill="1" applyBorder="1" applyAlignment="1">
      <alignment horizontal="right" vertical="center"/>
    </xf>
    <xf numFmtId="1" fontId="4" fillId="11" borderId="8" xfId="0" applyNumberFormat="1" applyFont="1" applyFill="1" applyBorder="1" applyAlignment="1">
      <alignment horizontal="right" vertical="center"/>
    </xf>
    <xf numFmtId="175" fontId="5" fillId="11" borderId="8" xfId="11" applyNumberFormat="1" applyFont="1" applyFill="1" applyBorder="1" applyAlignment="1">
      <alignment horizontal="right" vertical="center"/>
    </xf>
    <xf numFmtId="1" fontId="5" fillId="11" borderId="8" xfId="0" applyNumberFormat="1" applyFont="1" applyFill="1" applyBorder="1" applyAlignment="1">
      <alignment horizontal="right" vertical="center"/>
    </xf>
    <xf numFmtId="41" fontId="2" fillId="7" borderId="8" xfId="11" applyFont="1" applyFill="1" applyBorder="1" applyAlignment="1">
      <alignment horizontal="right" vertical="center"/>
    </xf>
    <xf numFmtId="168" fontId="8" fillId="0" borderId="2" xfId="0" applyNumberFormat="1" applyFont="1" applyBorder="1" applyAlignment="1">
      <alignment horizontal="right" vertical="center"/>
    </xf>
    <xf numFmtId="168" fontId="21" fillId="0" borderId="1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2" fontId="5" fillId="11" borderId="7" xfId="0" applyNumberFormat="1" applyFont="1" applyFill="1" applyBorder="1" applyAlignment="1">
      <alignment horizontal="right" vertical="center"/>
    </xf>
    <xf numFmtId="2" fontId="5" fillId="11" borderId="1" xfId="0" applyNumberFormat="1" applyFont="1" applyFill="1" applyBorder="1" applyAlignment="1">
      <alignment horizontal="right" vertical="center"/>
    </xf>
    <xf numFmtId="0" fontId="5" fillId="11" borderId="8" xfId="0" applyFont="1" applyFill="1" applyBorder="1" applyAlignment="1">
      <alignment horizontal="center" vertical="center"/>
    </xf>
    <xf numFmtId="0" fontId="39" fillId="2" borderId="0" xfId="0" applyFont="1" applyFill="1" applyAlignment="1">
      <alignment vertical="center" wrapText="1"/>
    </xf>
    <xf numFmtId="0" fontId="2" fillId="12" borderId="2" xfId="0" applyFont="1" applyFill="1" applyBorder="1" applyAlignment="1">
      <alignment vertical="center" wrapText="1"/>
    </xf>
    <xf numFmtId="0" fontId="3" fillId="8" borderId="13" xfId="0" applyFont="1" applyFill="1" applyBorder="1" applyAlignment="1">
      <alignment vertical="center" wrapText="1"/>
    </xf>
    <xf numFmtId="0" fontId="6" fillId="13" borderId="1" xfId="1" applyFont="1" applyFill="1" applyBorder="1" applyAlignment="1">
      <alignment horizontal="left" vertical="center"/>
    </xf>
    <xf numFmtId="0" fontId="8" fillId="12" borderId="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vertical="center" wrapText="1"/>
    </xf>
    <xf numFmtId="168" fontId="12" fillId="12" borderId="1" xfId="0" applyNumberFormat="1" applyFont="1" applyFill="1" applyBorder="1" applyAlignment="1">
      <alignment horizontal="right" vertical="center"/>
    </xf>
    <xf numFmtId="181" fontId="4" fillId="11" borderId="8" xfId="0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1" fontId="29" fillId="11" borderId="8" xfId="0" applyNumberFormat="1" applyFont="1" applyFill="1" applyBorder="1" applyAlignment="1">
      <alignment horizontal="right" vertical="center" wrapText="1"/>
    </xf>
    <xf numFmtId="1" fontId="29" fillId="11" borderId="15" xfId="0" applyNumberFormat="1" applyFont="1" applyFill="1" applyBorder="1" applyAlignment="1">
      <alignment horizontal="right" vertical="center" wrapText="1"/>
    </xf>
    <xf numFmtId="2" fontId="21" fillId="0" borderId="12" xfId="0" applyNumberFormat="1" applyFont="1" applyBorder="1" applyAlignment="1">
      <alignment horizontal="right" vertical="center"/>
    </xf>
    <xf numFmtId="0" fontId="3" fillId="5" borderId="10" xfId="0" applyFont="1" applyFill="1" applyBorder="1" applyAlignment="1">
      <alignment vertical="center" wrapText="1"/>
    </xf>
    <xf numFmtId="3" fontId="14" fillId="0" borderId="2" xfId="0" applyNumberFormat="1" applyFont="1" applyBorder="1" applyAlignment="1">
      <alignment horizontal="right" vertical="center"/>
    </xf>
    <xf numFmtId="0" fontId="10" fillId="2" borderId="6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/>
    </xf>
    <xf numFmtId="4" fontId="8" fillId="0" borderId="6" xfId="0" applyNumberFormat="1" applyFont="1" applyBorder="1" applyAlignment="1">
      <alignment horizontal="right" vertical="center"/>
    </xf>
    <xf numFmtId="168" fontId="3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4" fillId="0" borderId="8" xfId="0" applyNumberFormat="1" applyFont="1" applyBorder="1" applyAlignment="1">
      <alignment horizontal="right" vertical="center"/>
    </xf>
    <xf numFmtId="1" fontId="21" fillId="0" borderId="3" xfId="0" applyNumberFormat="1" applyFont="1" applyBorder="1" applyAlignment="1">
      <alignment horizontal="right" vertical="center"/>
    </xf>
    <xf numFmtId="1" fontId="21" fillId="0" borderId="13" xfId="0" applyNumberFormat="1" applyFont="1" applyBorder="1" applyAlignment="1">
      <alignment horizontal="right" vertical="center"/>
    </xf>
    <xf numFmtId="1" fontId="21" fillId="0" borderId="11" xfId="0" applyNumberFormat="1" applyFont="1" applyBorder="1" applyAlignment="1">
      <alignment horizontal="right" vertical="center"/>
    </xf>
    <xf numFmtId="4" fontId="4" fillId="12" borderId="15" xfId="0" applyNumberFormat="1" applyFont="1" applyFill="1" applyBorder="1" applyAlignment="1">
      <alignment horizontal="right" vertical="center"/>
    </xf>
    <xf numFmtId="2" fontId="8" fillId="0" borderId="12" xfId="0" applyNumberFormat="1" applyFont="1" applyBorder="1" applyAlignment="1">
      <alignment horizontal="right" vertical="center"/>
    </xf>
    <xf numFmtId="4" fontId="4" fillId="12" borderId="1" xfId="0" applyNumberFormat="1" applyFont="1" applyFill="1" applyBorder="1" applyAlignment="1">
      <alignment horizontal="right" vertical="center"/>
    </xf>
    <xf numFmtId="1" fontId="4" fillId="11" borderId="8" xfId="12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168" fontId="22" fillId="7" borderId="8" xfId="0" applyNumberFormat="1" applyFont="1" applyFill="1" applyBorder="1" applyAlignment="1">
      <alignment horizontal="right" vertical="center"/>
    </xf>
    <xf numFmtId="168" fontId="13" fillId="12" borderId="1" xfId="0" applyNumberFormat="1" applyFont="1" applyFill="1" applyBorder="1" applyAlignment="1">
      <alignment horizontal="right" vertical="center"/>
    </xf>
    <xf numFmtId="168" fontId="2" fillId="12" borderId="1" xfId="11" applyNumberFormat="1" applyFont="1" applyFill="1" applyBorder="1" applyAlignment="1">
      <alignment horizontal="right" vertical="center"/>
    </xf>
    <xf numFmtId="168" fontId="14" fillId="0" borderId="4" xfId="0" applyNumberFormat="1" applyFont="1" applyBorder="1" applyAlignment="1">
      <alignment horizontal="right" vertical="center"/>
    </xf>
    <xf numFmtId="168" fontId="14" fillId="0" borderId="14" xfId="0" applyNumberFormat="1" applyFont="1" applyBorder="1" applyAlignment="1">
      <alignment horizontal="right" vertical="center"/>
    </xf>
    <xf numFmtId="168" fontId="14" fillId="0" borderId="15" xfId="0" applyNumberFormat="1" applyFont="1" applyBorder="1" applyAlignment="1">
      <alignment horizontal="right" vertical="center"/>
    </xf>
    <xf numFmtId="168" fontId="2" fillId="12" borderId="8" xfId="11" applyNumberFormat="1" applyFont="1" applyFill="1" applyBorder="1" applyAlignment="1">
      <alignment horizontal="right" vertical="center"/>
    </xf>
    <xf numFmtId="168" fontId="29" fillId="11" borderId="15" xfId="11" applyNumberFormat="1" applyFont="1" applyFill="1" applyBorder="1" applyAlignment="1" applyProtection="1">
      <alignment horizontal="right" vertical="center" wrapText="1"/>
    </xf>
    <xf numFmtId="168" fontId="2" fillId="7" borderId="15" xfId="11" applyNumberFormat="1" applyFont="1" applyFill="1" applyBorder="1" applyAlignment="1">
      <alignment horizontal="right" vertical="center"/>
    </xf>
    <xf numFmtId="168" fontId="35" fillId="0" borderId="8" xfId="0" applyNumberFormat="1" applyFont="1" applyBorder="1" applyAlignment="1">
      <alignment horizontal="right" vertical="center"/>
    </xf>
    <xf numFmtId="168" fontId="8" fillId="0" borderId="5" xfId="0" applyNumberFormat="1" applyFont="1" applyBorder="1" applyAlignment="1">
      <alignment horizontal="right" vertical="center"/>
    </xf>
    <xf numFmtId="168" fontId="11" fillId="0" borderId="2" xfId="0" applyNumberFormat="1" applyFont="1" applyBorder="1" applyAlignment="1">
      <alignment horizontal="right" vertical="center"/>
    </xf>
    <xf numFmtId="168" fontId="8" fillId="0" borderId="10" xfId="0" applyNumberFormat="1" applyFont="1" applyBorder="1" applyAlignment="1">
      <alignment horizontal="right" vertical="center"/>
    </xf>
    <xf numFmtId="168" fontId="8" fillId="0" borderId="12" xfId="0" applyNumberFormat="1" applyFont="1" applyBorder="1" applyAlignment="1">
      <alignment horizontal="right" vertical="center"/>
    </xf>
    <xf numFmtId="168" fontId="2" fillId="7" borderId="8" xfId="11" applyNumberFormat="1" applyFont="1" applyFill="1" applyBorder="1" applyAlignment="1">
      <alignment horizontal="right" vertical="center"/>
    </xf>
    <xf numFmtId="168" fontId="8" fillId="0" borderId="4" xfId="0" applyNumberFormat="1" applyFont="1" applyBorder="1" applyAlignment="1">
      <alignment horizontal="right" vertical="center"/>
    </xf>
    <xf numFmtId="168" fontId="8" fillId="0" borderId="14" xfId="0" applyNumberFormat="1" applyFont="1" applyBorder="1" applyAlignment="1">
      <alignment horizontal="right" vertical="center"/>
    </xf>
    <xf numFmtId="168" fontId="21" fillId="12" borderId="8" xfId="0" applyNumberFormat="1" applyFont="1" applyFill="1" applyBorder="1" applyAlignment="1">
      <alignment horizontal="right" vertical="center"/>
    </xf>
    <xf numFmtId="168" fontId="21" fillId="0" borderId="2" xfId="0" applyNumberFormat="1" applyFont="1" applyBorder="1" applyAlignment="1">
      <alignment horizontal="right" vertical="center"/>
    </xf>
    <xf numFmtId="168" fontId="21" fillId="0" borderId="10" xfId="0" applyNumberFormat="1" applyFont="1" applyBorder="1" applyAlignment="1">
      <alignment horizontal="right" vertical="center"/>
    </xf>
    <xf numFmtId="168" fontId="8" fillId="7" borderId="8" xfId="0" applyNumberFormat="1" applyFont="1" applyFill="1" applyBorder="1" applyAlignment="1">
      <alignment horizontal="right" vertical="center"/>
    </xf>
    <xf numFmtId="2" fontId="2" fillId="0" borderId="0" xfId="0" applyNumberFormat="1" applyFont="1" applyAlignment="1">
      <alignment vertical="center" wrapText="1"/>
    </xf>
    <xf numFmtId="2" fontId="41" fillId="0" borderId="0" xfId="0" applyNumberFormat="1" applyFont="1" applyAlignment="1">
      <alignment vertical="center"/>
    </xf>
    <xf numFmtId="0" fontId="42" fillId="2" borderId="0" xfId="0" applyFont="1" applyFill="1" applyAlignment="1">
      <alignment horizontal="left" vertical="center" wrapText="1"/>
    </xf>
    <xf numFmtId="0" fontId="42" fillId="2" borderId="0" xfId="0" applyFont="1" applyFill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68" fontId="8" fillId="0" borderId="6" xfId="0" applyNumberFormat="1" applyFont="1" applyBorder="1" applyAlignment="1">
      <alignment horizontal="right" vertical="center"/>
    </xf>
    <xf numFmtId="4" fontId="8" fillId="0" borderId="4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2" fontId="21" fillId="0" borderId="14" xfId="0" applyNumberFormat="1" applyFont="1" applyBorder="1" applyAlignment="1">
      <alignment horizontal="right" vertical="center"/>
    </xf>
    <xf numFmtId="167" fontId="14" fillId="0" borderId="9" xfId="0" applyNumberFormat="1" applyFont="1" applyBorder="1" applyAlignment="1">
      <alignment horizontal="right" vertical="center"/>
    </xf>
    <xf numFmtId="168" fontId="14" fillId="0" borderId="11" xfId="0" applyNumberFormat="1" applyFont="1" applyBorder="1" applyAlignment="1">
      <alignment horizontal="right" vertical="center"/>
    </xf>
    <xf numFmtId="0" fontId="14" fillId="0" borderId="9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right" vertical="center"/>
    </xf>
    <xf numFmtId="167" fontId="8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168" fontId="11" fillId="0" borderId="1" xfId="0" applyNumberFormat="1" applyFont="1" applyBorder="1" applyAlignment="1">
      <alignment horizontal="right" vertical="center"/>
    </xf>
    <xf numFmtId="4" fontId="8" fillId="0" borderId="5" xfId="0" applyNumberFormat="1" applyFont="1" applyBorder="1" applyAlignment="1">
      <alignment horizontal="right" vertical="center"/>
    </xf>
    <xf numFmtId="167" fontId="14" fillId="0" borderId="6" xfId="0" applyNumberFormat="1" applyFont="1" applyBorder="1" applyAlignment="1">
      <alignment vertical="center"/>
    </xf>
    <xf numFmtId="4" fontId="8" fillId="0" borderId="14" xfId="0" applyNumberFormat="1" applyFont="1" applyBorder="1" applyAlignment="1">
      <alignment vertical="center"/>
    </xf>
    <xf numFmtId="168" fontId="8" fillId="0" borderId="15" xfId="0" applyNumberFormat="1" applyFont="1" applyBorder="1" applyAlignment="1">
      <alignment vertical="center"/>
    </xf>
    <xf numFmtId="2" fontId="4" fillId="0" borderId="8" xfId="0" applyNumberFormat="1" applyFont="1" applyBorder="1" applyAlignment="1">
      <alignment horizontal="right" vertical="center"/>
    </xf>
    <xf numFmtId="168" fontId="14" fillId="0" borderId="8" xfId="0" applyNumberFormat="1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7" fillId="0" borderId="1" xfId="1" applyFont="1" applyBorder="1" applyAlignment="1">
      <alignment horizontal="left" vertical="center"/>
    </xf>
    <xf numFmtId="0" fontId="3" fillId="5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2" borderId="5" xfId="0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6" fillId="16" borderId="7" xfId="1" applyFont="1" applyFill="1" applyBorder="1" applyAlignment="1">
      <alignment horizontal="left" vertical="center"/>
    </xf>
    <xf numFmtId="49" fontId="6" fillId="10" borderId="8" xfId="1" applyNumberFormat="1" applyFont="1" applyFill="1" applyBorder="1" applyAlignment="1">
      <alignment horizontal="left" vertical="center"/>
    </xf>
    <xf numFmtId="21" fontId="6" fillId="11" borderId="8" xfId="1" applyNumberFormat="1" applyFont="1" applyFill="1" applyBorder="1" applyAlignment="1">
      <alignment horizontal="left" vertical="center"/>
    </xf>
    <xf numFmtId="0" fontId="6" fillId="5" borderId="0" xfId="1" applyFont="1" applyFill="1" applyAlignment="1">
      <alignment horizontal="left" vertical="center"/>
    </xf>
    <xf numFmtId="0" fontId="3" fillId="8" borderId="7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vertical="center" wrapText="1"/>
    </xf>
    <xf numFmtId="0" fontId="6" fillId="5" borderId="9" xfId="1" applyFont="1" applyFill="1" applyBorder="1" applyAlignment="1">
      <alignment horizontal="left" vertical="center"/>
    </xf>
    <xf numFmtId="0" fontId="2" fillId="15" borderId="13" xfId="0" applyFont="1" applyFill="1" applyBorder="1" applyAlignment="1">
      <alignment vertical="center"/>
    </xf>
    <xf numFmtId="21" fontId="2" fillId="11" borderId="8" xfId="0" applyNumberFormat="1" applyFont="1" applyFill="1" applyBorder="1" applyAlignment="1">
      <alignment horizontal="left" vertical="center"/>
    </xf>
    <xf numFmtId="21" fontId="2" fillId="11" borderId="15" xfId="0" applyNumberFormat="1" applyFont="1" applyFill="1" applyBorder="1" applyAlignment="1">
      <alignment horizontal="left" vertical="center"/>
    </xf>
    <xf numFmtId="0" fontId="2" fillId="12" borderId="8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69" fontId="17" fillId="0" borderId="0" xfId="3" applyNumberFormat="1" applyFont="1" applyAlignment="1">
      <alignment horizontal="center" vertical="top"/>
    </xf>
    <xf numFmtId="169" fontId="18" fillId="0" borderId="0" xfId="3" applyNumberFormat="1" applyFont="1" applyAlignment="1">
      <alignment horizontal="center" vertical="top"/>
    </xf>
    <xf numFmtId="169" fontId="19" fillId="0" borderId="0" xfId="3" applyNumberFormat="1" applyFont="1" applyAlignment="1">
      <alignment horizontal="left" vertical="top"/>
    </xf>
    <xf numFmtId="0" fontId="2" fillId="7" borderId="16" xfId="0" applyFont="1" applyFill="1" applyBorder="1" applyAlignment="1">
      <alignment horizontal="center" vertical="center" wrapText="1"/>
    </xf>
    <xf numFmtId="0" fontId="2" fillId="7" borderId="24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0" fillId="0" borderId="28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0" fillId="0" borderId="2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43" fillId="2" borderId="0" xfId="0" applyFont="1" applyFill="1" applyAlignment="1">
      <alignment horizontal="center" vertical="center" wrapText="1"/>
    </xf>
    <xf numFmtId="0" fontId="42" fillId="2" borderId="0" xfId="0" applyFont="1" applyFill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40" fillId="0" borderId="0" xfId="0" applyFont="1" applyAlignment="1">
      <alignment horizontal="center" vertical="center"/>
    </xf>
  </cellXfs>
  <cellStyles count="13">
    <cellStyle name="Comma [0]" xfId="11" builtinId="6"/>
    <cellStyle name="Comma [0] 2" xfId="5" xr:uid="{00000000-0005-0000-0000-000001000000}"/>
    <cellStyle name="Comma 2" xfId="6" xr:uid="{00000000-0005-0000-0000-000002000000}"/>
    <cellStyle name="Currency [0]" xfId="2" builtinId="7"/>
    <cellStyle name="Currency 2" xfId="7" xr:uid="{00000000-0005-0000-0000-000004000000}"/>
    <cellStyle name="Normal" xfId="0" builtinId="0"/>
    <cellStyle name="Normal 2" xfId="4" xr:uid="{00000000-0005-0000-0000-000006000000}"/>
    <cellStyle name="Normal 2 2" xfId="8" xr:uid="{00000000-0005-0000-0000-000007000000}"/>
    <cellStyle name="Normal 3" xfId="3" xr:uid="{00000000-0005-0000-0000-000008000000}"/>
    <cellStyle name="Normal 4" xfId="1" xr:uid="{00000000-0005-0000-0000-000009000000}"/>
    <cellStyle name="Percent" xfId="12" builtinId="5"/>
    <cellStyle name="S5" xfId="9" xr:uid="{00000000-0005-0000-0000-00000B000000}"/>
    <cellStyle name="S8" xfId="10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43542</xdr:colOff>
      <xdr:row>75</xdr:row>
      <xdr:rowOff>54429</xdr:rowOff>
    </xdr:from>
    <xdr:to>
      <xdr:col>30</xdr:col>
      <xdr:colOff>231321</xdr:colOff>
      <xdr:row>86</xdr:row>
      <xdr:rowOff>187779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216992" y="43574154"/>
          <a:ext cx="5369379" cy="22288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Cilacap, </a:t>
          </a:r>
          <a:r>
            <a:rPr lang="id-ID" sz="10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8</a:t>
          </a:r>
          <a:r>
            <a:rPr lang="en-US" sz="1000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April 201</a:t>
          </a:r>
          <a:r>
            <a:rPr lang="id-ID" sz="1000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9</a:t>
          </a:r>
        </a:p>
        <a:p>
          <a:endParaRPr lang="en-US" sz="1000">
            <a:latin typeface="Arial" pitchFamily="34" charset="0"/>
            <a:cs typeface="Arial" pitchFamily="34" charset="0"/>
          </a:endParaRPr>
        </a:p>
        <a:p>
          <a:pPr algn="ctr"/>
          <a:r>
            <a:rPr lang="id-ID" sz="10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KEPALA DINAS SOSIAL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0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KABUPATEN CILACAP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n-US" sz="1000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TARYO</a:t>
          </a:r>
          <a:r>
            <a:rPr lang="id-ID" sz="1000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, S.Sos, M</a:t>
          </a:r>
          <a:r>
            <a:rPr lang="en-US" sz="1000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id-ID" sz="1000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Si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Pembina </a:t>
          </a:r>
          <a:r>
            <a:rPr lang="en-US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Utama</a:t>
          </a:r>
          <a:r>
            <a:rPr lang="en-US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Muda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NIP. </a:t>
          </a:r>
          <a:r>
            <a:rPr lang="en-US" sz="1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19690808 199703 1 007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YU/LAPORAN%20KEUANGAN%20DINSOS/2017/Evaluasi%20RKPD%20%20TRIWULAN%204%20(2017)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YU/LAPORAN%20KEUANGAN%20DINSOS/2018/EVALUASI%20RKPD/DINSOS/TRIWULAN%20IV%20OK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YU/LAPORAN%20KEUANGAN%20DINSOS/2019/EVALUASI%20RKPD/PROGRESS%20TW%20I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YU/LAPORAN%20KEUANGAN%20DINSOS/2021/RKPD/EVALUASI%20RKPD%202021_TW4-f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W2"/>
      <sheetName val="TWtiga"/>
      <sheetName val="TW empat"/>
    </sheetNames>
    <sheetDataSet>
      <sheetData sheetId="0"/>
      <sheetData sheetId="1"/>
      <sheetData sheetId="2">
        <row r="12">
          <cell r="Z12">
            <v>903980.6100000001</v>
          </cell>
        </row>
        <row r="20">
          <cell r="Z20">
            <v>271865.973</v>
          </cell>
        </row>
        <row r="25">
          <cell r="Z25">
            <v>66315.400000000023</v>
          </cell>
        </row>
        <row r="26">
          <cell r="Z26">
            <v>793813.03700000001</v>
          </cell>
        </row>
        <row r="32">
          <cell r="Z32">
            <v>1021559.2120000001</v>
          </cell>
        </row>
        <row r="39">
          <cell r="Z39">
            <v>62767</v>
          </cell>
        </row>
        <row r="41">
          <cell r="Z41">
            <v>151057</v>
          </cell>
        </row>
        <row r="44">
          <cell r="Z44">
            <v>47292.375</v>
          </cell>
        </row>
        <row r="46">
          <cell r="Z46">
            <v>576429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PD TW IV OKE"/>
      <sheetName val="RKPD TW IV PERBAIKAN"/>
      <sheetName val="RKPD TW IV PERBAIKAN pisah %"/>
    </sheetNames>
    <sheetDataSet>
      <sheetData sheetId="0"/>
      <sheetData sheetId="1">
        <row r="16">
          <cell r="W16">
            <v>1392404.1490000002</v>
          </cell>
        </row>
        <row r="24">
          <cell r="W24">
            <v>513410.09799999988</v>
          </cell>
        </row>
        <row r="30">
          <cell r="W30">
            <v>22500</v>
          </cell>
        </row>
        <row r="32">
          <cell r="W32">
            <v>22500</v>
          </cell>
        </row>
        <row r="34">
          <cell r="W34">
            <v>636577.28800000006</v>
          </cell>
        </row>
        <row r="43">
          <cell r="W43">
            <v>2935645.3620000002</v>
          </cell>
        </row>
        <row r="53">
          <cell r="W53">
            <v>142804</v>
          </cell>
        </row>
        <row r="55">
          <cell r="W55">
            <v>195707.8</v>
          </cell>
        </row>
        <row r="58">
          <cell r="W58">
            <v>48917</v>
          </cell>
        </row>
        <row r="60">
          <cell r="W60">
            <v>74400</v>
          </cell>
        </row>
        <row r="62">
          <cell r="W62">
            <v>696630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W IV RIIL"/>
    </sheetNames>
    <sheetDataSet>
      <sheetData sheetId="0">
        <row r="12">
          <cell r="X12">
            <v>1412897.47</v>
          </cell>
        </row>
        <row r="20">
          <cell r="X20">
            <v>291044.49600000004</v>
          </cell>
        </row>
        <row r="27">
          <cell r="X27">
            <v>54815</v>
          </cell>
        </row>
        <row r="29">
          <cell r="X29">
            <v>25000</v>
          </cell>
        </row>
        <row r="32">
          <cell r="X32">
            <v>595057.85</v>
          </cell>
        </row>
        <row r="39">
          <cell r="X39">
            <v>901719.87399999995</v>
          </cell>
        </row>
        <row r="47">
          <cell r="X47">
            <v>148599.45000000001</v>
          </cell>
        </row>
        <row r="49">
          <cell r="X49">
            <v>124180.7</v>
          </cell>
        </row>
        <row r="52">
          <cell r="X52">
            <v>49499.8</v>
          </cell>
        </row>
        <row r="54">
          <cell r="X54">
            <v>74599.95</v>
          </cell>
        </row>
        <row r="56">
          <cell r="X56">
            <v>802048.34999999986</v>
          </cell>
        </row>
        <row r="65">
          <cell r="X65">
            <v>9892.2999999999993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PD 2021"/>
      <sheetName val="RIIL TW IV PERBAIKAN"/>
      <sheetName val="(Sblm) REVISI RKPD 2021"/>
      <sheetName val="REVISI RKPD 2021 - TW I"/>
      <sheetName val="TW II"/>
      <sheetName val="TW III"/>
      <sheetName val="TW IV"/>
      <sheetName val="PREDIKSI TW IV"/>
      <sheetName val="TW IV FIX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">
          <cell r="AC9">
            <v>83756.88</v>
          </cell>
        </row>
        <row r="13">
          <cell r="AC13">
            <v>3024869.0240000002</v>
          </cell>
        </row>
        <row r="16">
          <cell r="AB16">
            <v>92.583333333333329</v>
          </cell>
          <cell r="AC16">
            <v>149815</v>
          </cell>
        </row>
        <row r="21">
          <cell r="AB21">
            <v>100</v>
          </cell>
          <cell r="AC21">
            <v>6301918.3399999999</v>
          </cell>
        </row>
        <row r="31">
          <cell r="AC31">
            <v>2407742.9380000001</v>
          </cell>
        </row>
        <row r="40">
          <cell r="AB40">
            <v>100</v>
          </cell>
          <cell r="AC40">
            <v>3401014.8</v>
          </cell>
        </row>
        <row r="41">
          <cell r="AC41">
            <v>283281.7</v>
          </cell>
        </row>
        <row r="42">
          <cell r="AB42">
            <v>1.5940000000000001</v>
          </cell>
          <cell r="AC42">
            <v>1842129.5</v>
          </cell>
        </row>
        <row r="62">
          <cell r="AB62">
            <v>63.45</v>
          </cell>
          <cell r="AC62">
            <v>5899469.1420000009</v>
          </cell>
        </row>
        <row r="63">
          <cell r="AB63">
            <v>3.4299999999999997</v>
          </cell>
          <cell r="AC63">
            <v>636754.54999999993</v>
          </cell>
        </row>
        <row r="64">
          <cell r="AB64">
            <v>57.78</v>
          </cell>
          <cell r="AC64">
            <v>194666.25</v>
          </cell>
        </row>
        <row r="92">
          <cell r="AB92">
            <v>1.06</v>
          </cell>
          <cell r="AC92">
            <v>536078.35</v>
          </cell>
        </row>
        <row r="97">
          <cell r="AB97">
            <v>0.39</v>
          </cell>
          <cell r="AC97">
            <v>1808914</v>
          </cell>
        </row>
        <row r="101">
          <cell r="AC101">
            <v>1738459.8659999999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10"/>
  <sheetViews>
    <sheetView zoomScale="82" zoomScaleNormal="82" workbookViewId="0">
      <pane ySplit="8" topLeftCell="A24" activePane="bottomLeft" state="frozen"/>
      <selection pane="bottomLeft" activeCell="N49" sqref="N49"/>
    </sheetView>
  </sheetViews>
  <sheetFormatPr defaultColWidth="9.140625" defaultRowHeight="12.75" x14ac:dyDescent="0.25"/>
  <cols>
    <col min="1" max="1" width="4.7109375" style="8" customWidth="1"/>
    <col min="2" max="2" width="18.42578125" style="53" customWidth="1"/>
    <col min="3" max="3" width="30.7109375" style="16" customWidth="1"/>
    <col min="4" max="5" width="30.7109375" style="53" customWidth="1"/>
    <col min="6" max="6" width="9.140625" style="8" customWidth="1"/>
    <col min="7" max="7" width="9.140625" style="20" customWidth="1"/>
    <col min="8" max="8" width="12.5703125" style="10" customWidth="1"/>
    <col min="9" max="9" width="9.140625" style="20" customWidth="1"/>
    <col min="10" max="10" width="14.42578125" style="10" customWidth="1"/>
    <col min="11" max="11" width="9.5703125" style="20" customWidth="1"/>
    <col min="12" max="12" width="16.28515625" style="31" customWidth="1"/>
    <col min="13" max="13" width="9.140625" style="20"/>
    <col min="14" max="14" width="15" style="31" customWidth="1"/>
    <col min="15" max="15" width="7.140625" style="20" customWidth="1"/>
    <col min="16" max="16" width="13.5703125" style="10" customWidth="1"/>
    <col min="17" max="17" width="9.140625" style="20" customWidth="1"/>
    <col min="18" max="18" width="9.140625" style="10" customWidth="1"/>
    <col min="19" max="19" width="9.140625" style="20" customWidth="1"/>
    <col min="20" max="20" width="9.140625" style="10" customWidth="1"/>
    <col min="21" max="21" width="9.140625" style="20" customWidth="1"/>
    <col min="22" max="22" width="9.140625" style="10" customWidth="1"/>
    <col min="23" max="23" width="9.140625" style="20"/>
    <col min="24" max="24" width="13" style="10" bestFit="1" customWidth="1"/>
    <col min="25" max="25" width="8.28515625" style="20" customWidth="1"/>
    <col min="26" max="26" width="7.5703125" style="10" customWidth="1"/>
    <col min="27" max="27" width="9.140625" style="20"/>
    <col min="28" max="28" width="13.42578125" style="10" customWidth="1"/>
    <col min="29" max="29" width="9.5703125" style="20" customWidth="1"/>
    <col min="30" max="30" width="9" style="10" customWidth="1"/>
    <col min="31" max="31" width="12.5703125" style="8" customWidth="1"/>
    <col min="32" max="32" width="3.28515625" style="53" customWidth="1"/>
    <col min="33" max="34" width="14.7109375" style="53" hidden="1" customWidth="1"/>
    <col min="35" max="35" width="15.28515625" style="53" hidden="1" customWidth="1"/>
    <col min="36" max="37" width="14.7109375" style="53" hidden="1" customWidth="1"/>
    <col min="38" max="38" width="0" style="53" hidden="1" customWidth="1"/>
    <col min="39" max="16384" width="9.140625" style="53"/>
  </cols>
  <sheetData>
    <row r="1" spans="1:38" x14ac:dyDescent="0.25">
      <c r="A1" s="458" t="s">
        <v>424</v>
      </c>
    </row>
    <row r="2" spans="1:38" x14ac:dyDescent="0.25">
      <c r="A2" s="458" t="s">
        <v>425</v>
      </c>
    </row>
    <row r="4" spans="1:38" s="402" customFormat="1" x14ac:dyDescent="0.25">
      <c r="A4" s="1026" t="s">
        <v>0</v>
      </c>
      <c r="B4" s="1026" t="s">
        <v>269</v>
      </c>
      <c r="C4" s="1026" t="s">
        <v>30</v>
      </c>
      <c r="D4" s="1026" t="s">
        <v>253</v>
      </c>
      <c r="E4" s="1026" t="s">
        <v>21</v>
      </c>
      <c r="F4" s="1026" t="s">
        <v>1</v>
      </c>
      <c r="G4" s="1005" t="s">
        <v>2</v>
      </c>
      <c r="H4" s="1006"/>
      <c r="I4" s="996" t="s">
        <v>17</v>
      </c>
      <c r="J4" s="997"/>
      <c r="K4" s="996" t="s">
        <v>12</v>
      </c>
      <c r="L4" s="1002"/>
      <c r="M4" s="1002"/>
      <c r="N4" s="997"/>
      <c r="O4" s="1023" t="s">
        <v>189</v>
      </c>
      <c r="P4" s="1024"/>
      <c r="Q4" s="1024"/>
      <c r="R4" s="1024"/>
      <c r="S4" s="1024"/>
      <c r="T4" s="1024"/>
      <c r="U4" s="1024"/>
      <c r="V4" s="1025"/>
      <c r="W4" s="996" t="s">
        <v>13</v>
      </c>
      <c r="X4" s="997"/>
      <c r="Y4" s="996" t="s">
        <v>14</v>
      </c>
      <c r="Z4" s="997"/>
      <c r="AA4" s="996" t="s">
        <v>15</v>
      </c>
      <c r="AB4" s="997"/>
      <c r="AC4" s="1017" t="s">
        <v>16</v>
      </c>
      <c r="AD4" s="1017"/>
      <c r="AE4" s="1018" t="s">
        <v>3</v>
      </c>
    </row>
    <row r="5" spans="1:38" s="402" customFormat="1" x14ac:dyDescent="0.25">
      <c r="A5" s="1027"/>
      <c r="B5" s="1027"/>
      <c r="C5" s="1027"/>
      <c r="D5" s="1027"/>
      <c r="E5" s="1027"/>
      <c r="F5" s="1027"/>
      <c r="G5" s="1007"/>
      <c r="H5" s="1008"/>
      <c r="I5" s="998"/>
      <c r="J5" s="999"/>
      <c r="K5" s="998"/>
      <c r="L5" s="1003"/>
      <c r="M5" s="1003"/>
      <c r="N5" s="999"/>
      <c r="O5" s="996" t="s">
        <v>4</v>
      </c>
      <c r="P5" s="997"/>
      <c r="Q5" s="996" t="s">
        <v>5</v>
      </c>
      <c r="R5" s="997"/>
      <c r="S5" s="996" t="s">
        <v>6</v>
      </c>
      <c r="T5" s="997"/>
      <c r="U5" s="1019" t="s">
        <v>7</v>
      </c>
      <c r="V5" s="1020"/>
      <c r="W5" s="998"/>
      <c r="X5" s="999"/>
      <c r="Y5" s="998"/>
      <c r="Z5" s="999"/>
      <c r="AA5" s="998"/>
      <c r="AB5" s="999"/>
      <c r="AC5" s="1017"/>
      <c r="AD5" s="1017"/>
      <c r="AE5" s="1018"/>
    </row>
    <row r="6" spans="1:38" s="402" customFormat="1" ht="98.25" customHeight="1" x14ac:dyDescent="0.25">
      <c r="A6" s="1027"/>
      <c r="B6" s="1027"/>
      <c r="C6" s="1027"/>
      <c r="D6" s="1027"/>
      <c r="E6" s="1027"/>
      <c r="F6" s="1027"/>
      <c r="G6" s="1009"/>
      <c r="H6" s="1010"/>
      <c r="I6" s="1000"/>
      <c r="J6" s="1001"/>
      <c r="K6" s="1000"/>
      <c r="L6" s="1004"/>
      <c r="M6" s="1004"/>
      <c r="N6" s="1001"/>
      <c r="O6" s="1000"/>
      <c r="P6" s="1001"/>
      <c r="Q6" s="1000"/>
      <c r="R6" s="1001"/>
      <c r="S6" s="1000"/>
      <c r="T6" s="1001"/>
      <c r="U6" s="1021"/>
      <c r="V6" s="1022"/>
      <c r="W6" s="1000"/>
      <c r="X6" s="1001"/>
      <c r="Y6" s="1000"/>
      <c r="Z6" s="1001"/>
      <c r="AA6" s="1000"/>
      <c r="AB6" s="1001"/>
      <c r="AC6" s="1017"/>
      <c r="AD6" s="1017"/>
      <c r="AE6" s="1018"/>
    </row>
    <row r="7" spans="1:38" s="402" customFormat="1" ht="33" customHeight="1" x14ac:dyDescent="0.25">
      <c r="A7" s="1028"/>
      <c r="B7" s="1028"/>
      <c r="C7" s="1028"/>
      <c r="D7" s="1028"/>
      <c r="E7" s="1028"/>
      <c r="F7" s="1028"/>
      <c r="G7" s="216" t="s">
        <v>8</v>
      </c>
      <c r="H7" s="11" t="s">
        <v>9</v>
      </c>
      <c r="I7" s="216" t="s">
        <v>8</v>
      </c>
      <c r="J7" s="11" t="s">
        <v>9</v>
      </c>
      <c r="K7" s="216" t="s">
        <v>8</v>
      </c>
      <c r="L7" s="30" t="s">
        <v>10</v>
      </c>
      <c r="M7" s="216" t="s">
        <v>8</v>
      </c>
      <c r="N7" s="30" t="s">
        <v>11</v>
      </c>
      <c r="O7" s="216" t="s">
        <v>8</v>
      </c>
      <c r="P7" s="11" t="s">
        <v>9</v>
      </c>
      <c r="Q7" s="216" t="s">
        <v>8</v>
      </c>
      <c r="R7" s="11" t="s">
        <v>9</v>
      </c>
      <c r="S7" s="216" t="s">
        <v>8</v>
      </c>
      <c r="T7" s="11" t="s">
        <v>9</v>
      </c>
      <c r="U7" s="371" t="s">
        <v>8</v>
      </c>
      <c r="V7" s="12" t="s">
        <v>9</v>
      </c>
      <c r="W7" s="216" t="s">
        <v>8</v>
      </c>
      <c r="X7" s="11" t="s">
        <v>9</v>
      </c>
      <c r="Y7" s="2" t="s">
        <v>8</v>
      </c>
      <c r="Z7" s="11" t="s">
        <v>9</v>
      </c>
      <c r="AA7" s="216" t="s">
        <v>8</v>
      </c>
      <c r="AB7" s="11" t="s">
        <v>9</v>
      </c>
      <c r="AC7" s="216" t="s">
        <v>8</v>
      </c>
      <c r="AD7" s="11" t="s">
        <v>9</v>
      </c>
      <c r="AE7" s="1018"/>
      <c r="AK7" s="447">
        <f>J9</f>
        <v>6484478.9839999992</v>
      </c>
    </row>
    <row r="8" spans="1:38" s="403" customFormat="1" x14ac:dyDescent="0.25">
      <c r="A8" s="370">
        <v>1</v>
      </c>
      <c r="B8" s="370">
        <v>2</v>
      </c>
      <c r="C8" s="3">
        <v>3</v>
      </c>
      <c r="D8" s="369">
        <v>4</v>
      </c>
      <c r="E8" s="369">
        <v>5</v>
      </c>
      <c r="F8" s="72">
        <v>6</v>
      </c>
      <c r="G8" s="1011">
        <v>7</v>
      </c>
      <c r="H8" s="1012"/>
      <c r="I8" s="1011">
        <v>8</v>
      </c>
      <c r="J8" s="1012"/>
      <c r="K8" s="1011">
        <v>9</v>
      </c>
      <c r="L8" s="1014"/>
      <c r="M8" s="1014"/>
      <c r="N8" s="1012"/>
      <c r="O8" s="1011">
        <v>10</v>
      </c>
      <c r="P8" s="1012"/>
      <c r="Q8" s="1011">
        <v>11</v>
      </c>
      <c r="R8" s="1012"/>
      <c r="S8" s="1011">
        <v>12</v>
      </c>
      <c r="T8" s="1012"/>
      <c r="U8" s="1015">
        <v>13</v>
      </c>
      <c r="V8" s="1016"/>
      <c r="W8" s="1011" t="s">
        <v>18</v>
      </c>
      <c r="X8" s="1012"/>
      <c r="Y8" s="1011" t="s">
        <v>19</v>
      </c>
      <c r="Z8" s="1012"/>
      <c r="AA8" s="1011" t="s">
        <v>423</v>
      </c>
      <c r="AB8" s="1012"/>
      <c r="AC8" s="1013" t="s">
        <v>20</v>
      </c>
      <c r="AD8" s="1013"/>
      <c r="AE8" s="405">
        <v>18</v>
      </c>
      <c r="AG8" s="403">
        <v>2017</v>
      </c>
      <c r="AH8" s="403">
        <v>2018</v>
      </c>
      <c r="AI8" s="403">
        <v>2019</v>
      </c>
      <c r="AJ8" s="403">
        <v>2020</v>
      </c>
    </row>
    <row r="9" spans="1:38" s="376" customFormat="1" ht="46.5" customHeight="1" x14ac:dyDescent="0.25">
      <c r="A9" s="39"/>
      <c r="B9" s="62"/>
      <c r="C9" s="21"/>
      <c r="D9" s="22" t="s">
        <v>34</v>
      </c>
      <c r="E9" s="21"/>
      <c r="F9" s="39"/>
      <c r="G9" s="40">
        <v>100</v>
      </c>
      <c r="H9" s="378">
        <f>SUM(H10:H14)</f>
        <v>11914250</v>
      </c>
      <c r="I9" s="40">
        <v>100</v>
      </c>
      <c r="J9" s="73">
        <f>SUM(J10:J14)</f>
        <v>6484478.9839999992</v>
      </c>
      <c r="K9" s="40">
        <v>100</v>
      </c>
      <c r="L9" s="73">
        <f>SUM(L10:L14)</f>
        <v>5992852.0180000002</v>
      </c>
      <c r="M9" s="40">
        <v>100</v>
      </c>
      <c r="N9" s="42">
        <f>SUM(N10:N14)</f>
        <v>5889551.5500000007</v>
      </c>
      <c r="O9" s="40">
        <v>25</v>
      </c>
      <c r="P9" s="73">
        <f>SUM(P10:P14)</f>
        <v>858960.21199999994</v>
      </c>
      <c r="Q9" s="40"/>
      <c r="R9" s="41"/>
      <c r="S9" s="40"/>
      <c r="T9" s="41"/>
      <c r="U9" s="40"/>
      <c r="V9" s="41"/>
      <c r="W9" s="40">
        <f>O9+Q9+S9+U9</f>
        <v>25</v>
      </c>
      <c r="X9" s="73">
        <f>P9+R9+T9+V9</f>
        <v>858960.21199999994</v>
      </c>
      <c r="Y9" s="407">
        <f>W9/M9*100</f>
        <v>25</v>
      </c>
      <c r="Z9" s="42">
        <f>X9/N9*100</f>
        <v>14.584475655026738</v>
      </c>
      <c r="AA9" s="407">
        <f>I9+W9</f>
        <v>125</v>
      </c>
      <c r="AB9" s="41">
        <f>X9+J9</f>
        <v>7343439.1959999995</v>
      </c>
      <c r="AC9" s="435">
        <f>AA9/G9*100</f>
        <v>125</v>
      </c>
      <c r="AD9" s="42">
        <f>AB9/H9*100</f>
        <v>61.635765541263609</v>
      </c>
      <c r="AE9" s="39" t="s">
        <v>188</v>
      </c>
      <c r="AG9" s="439">
        <v>903981</v>
      </c>
      <c r="AH9" s="439">
        <v>1392404</v>
      </c>
      <c r="AI9" s="439">
        <v>1412897</v>
      </c>
      <c r="AJ9" s="439">
        <v>1272395.0649999999</v>
      </c>
      <c r="AK9" s="438"/>
    </row>
    <row r="10" spans="1:38" s="404" customFormat="1" ht="39" customHeight="1" x14ac:dyDescent="0.25">
      <c r="A10" s="22"/>
      <c r="B10" s="22"/>
      <c r="C10" s="22"/>
      <c r="D10" s="22"/>
      <c r="E10" s="395" t="s">
        <v>254</v>
      </c>
      <c r="F10" s="388" t="s">
        <v>93</v>
      </c>
      <c r="G10" s="389">
        <v>100</v>
      </c>
      <c r="H10" s="430">
        <f>H25+H26+H27+H28+H29+H35+H36</f>
        <v>7672000</v>
      </c>
      <c r="I10" s="389">
        <f>I25/G25*100</f>
        <v>80</v>
      </c>
      <c r="J10" s="436">
        <f>J25+J26+J27+J28+J29+J35+J36</f>
        <v>4981679.0649999995</v>
      </c>
      <c r="K10" s="389">
        <v>100</v>
      </c>
      <c r="L10" s="396">
        <v>1614286.8</v>
      </c>
      <c r="M10" s="389">
        <v>100</v>
      </c>
      <c r="N10" s="406">
        <v>1511120</v>
      </c>
      <c r="O10" s="389">
        <v>25</v>
      </c>
      <c r="P10" s="397">
        <v>168858.269</v>
      </c>
      <c r="Q10" s="22"/>
      <c r="R10" s="22"/>
      <c r="S10" s="22"/>
      <c r="T10" s="22"/>
      <c r="U10" s="22"/>
      <c r="V10" s="22"/>
      <c r="W10" s="389">
        <v>25</v>
      </c>
      <c r="X10" s="436">
        <f>P10+R10+T10+V10</f>
        <v>168858.269</v>
      </c>
      <c r="Y10" s="408">
        <v>25</v>
      </c>
      <c r="Z10" s="393">
        <f>X10/N10*100</f>
        <v>11.174378540420351</v>
      </c>
      <c r="AA10" s="409">
        <f t="shared" ref="AA10:AA73" si="0">I10+W10</f>
        <v>105</v>
      </c>
      <c r="AB10" s="393">
        <f>J10+X10</f>
        <v>5150537.3339999998</v>
      </c>
      <c r="AC10" s="435">
        <f t="shared" ref="AC10:AC16" si="1">AA10/G10*100</f>
        <v>105</v>
      </c>
      <c r="AD10" s="408">
        <f>AB10/H10*100</f>
        <v>67.134219681960374</v>
      </c>
      <c r="AE10" s="22"/>
      <c r="AG10" s="440">
        <v>271866</v>
      </c>
      <c r="AH10" s="440">
        <v>513410</v>
      </c>
      <c r="AI10" s="440">
        <f>291044-5794</f>
        <v>285250</v>
      </c>
      <c r="AJ10" s="440">
        <v>246285.989</v>
      </c>
    </row>
    <row r="11" spans="1:38" s="376" customFormat="1" ht="33" customHeight="1" x14ac:dyDescent="0.25">
      <c r="A11" s="39"/>
      <c r="B11" s="62"/>
      <c r="C11" s="21"/>
      <c r="D11" s="22"/>
      <c r="E11" s="395" t="s">
        <v>268</v>
      </c>
      <c r="F11" s="388" t="s">
        <v>93</v>
      </c>
      <c r="G11" s="390"/>
      <c r="H11" s="391"/>
      <c r="I11" s="389"/>
      <c r="J11" s="394"/>
      <c r="K11" s="390">
        <v>100</v>
      </c>
      <c r="L11" s="393">
        <v>3458289.74</v>
      </c>
      <c r="M11" s="390">
        <v>100</v>
      </c>
      <c r="N11" s="393">
        <v>3458289.74</v>
      </c>
      <c r="O11" s="390">
        <v>25</v>
      </c>
      <c r="P11" s="394">
        <f>P19</f>
        <v>636785.30599999998</v>
      </c>
      <c r="Q11" s="40"/>
      <c r="R11" s="41"/>
      <c r="S11" s="40"/>
      <c r="T11" s="41"/>
      <c r="U11" s="40"/>
      <c r="V11" s="41"/>
      <c r="W11" s="390">
        <f>O11+Q11+S11+U11</f>
        <v>25</v>
      </c>
      <c r="X11" s="394">
        <f>P11+R11+T11+V11</f>
        <v>636785.30599999998</v>
      </c>
      <c r="Y11" s="409">
        <f>W11/M11*100</f>
        <v>25</v>
      </c>
      <c r="Z11" s="393">
        <f>X11/N11*100</f>
        <v>18.413301194364355</v>
      </c>
      <c r="AA11" s="409">
        <f t="shared" si="0"/>
        <v>25</v>
      </c>
      <c r="AB11" s="393">
        <f>J11+X11</f>
        <v>636785.30599999998</v>
      </c>
      <c r="AC11" s="435" t="e">
        <f t="shared" si="1"/>
        <v>#DIV/0!</v>
      </c>
      <c r="AD11" s="408"/>
      <c r="AE11" s="39"/>
      <c r="AG11" s="439"/>
      <c r="AH11" s="439">
        <v>22500</v>
      </c>
      <c r="AI11" s="439">
        <v>54815</v>
      </c>
      <c r="AJ11" s="439">
        <v>0</v>
      </c>
    </row>
    <row r="12" spans="1:38" s="376" customFormat="1" ht="32.25" customHeight="1" x14ac:dyDescent="0.25">
      <c r="A12" s="39"/>
      <c r="B12" s="62"/>
      <c r="C12" s="21"/>
      <c r="D12" s="22"/>
      <c r="E12" s="395" t="s">
        <v>255</v>
      </c>
      <c r="F12" s="388" t="s">
        <v>93</v>
      </c>
      <c r="G12" s="390">
        <v>100</v>
      </c>
      <c r="H12" s="391">
        <f>H31+H32+H33+H38+H39+H40</f>
        <v>3570750</v>
      </c>
      <c r="I12" s="389">
        <f>I27/G27*100</f>
        <v>80</v>
      </c>
      <c r="J12" s="394">
        <f>J31+J32+J33+J38+J39+J40</f>
        <v>1316812.9890000001</v>
      </c>
      <c r="K12" s="390">
        <v>100</v>
      </c>
      <c r="L12" s="394">
        <v>842190.52800000005</v>
      </c>
      <c r="M12" s="390">
        <v>100</v>
      </c>
      <c r="N12" s="393">
        <v>842056.86</v>
      </c>
      <c r="O12" s="390">
        <v>25</v>
      </c>
      <c r="P12" s="394">
        <f>P31+P32+P33+P38+P39+P40</f>
        <v>49343.186999999998</v>
      </c>
      <c r="Q12" s="40"/>
      <c r="R12" s="41"/>
      <c r="S12" s="40"/>
      <c r="T12" s="41"/>
      <c r="U12" s="40"/>
      <c r="V12" s="41"/>
      <c r="W12" s="390">
        <f>O12+Q12+S12+U12</f>
        <v>25</v>
      </c>
      <c r="X12" s="394">
        <f>P12+R12+T12+V12</f>
        <v>49343.186999999998</v>
      </c>
      <c r="Y12" s="409">
        <f>W12/M12*100</f>
        <v>25</v>
      </c>
      <c r="Z12" s="393">
        <f>X12/N12*100</f>
        <v>5.8598402725440657</v>
      </c>
      <c r="AA12" s="409">
        <f t="shared" si="0"/>
        <v>105</v>
      </c>
      <c r="AB12" s="393">
        <f>J12+X12</f>
        <v>1366156.176</v>
      </c>
      <c r="AC12" s="435">
        <f t="shared" si="1"/>
        <v>105</v>
      </c>
      <c r="AD12" s="408">
        <f>AB12/H12*100</f>
        <v>38.259642260029402</v>
      </c>
      <c r="AE12" s="39"/>
      <c r="AG12" s="441"/>
      <c r="AH12" s="442">
        <v>22500</v>
      </c>
      <c r="AI12" s="442">
        <v>25000</v>
      </c>
      <c r="AJ12" s="441">
        <v>0</v>
      </c>
    </row>
    <row r="13" spans="1:38" s="376" customFormat="1" ht="33.75" customHeight="1" x14ac:dyDescent="0.25">
      <c r="A13" s="39"/>
      <c r="B13" s="62"/>
      <c r="C13" s="21"/>
      <c r="D13" s="22"/>
      <c r="E13" s="395" t="s">
        <v>420</v>
      </c>
      <c r="F13" s="388" t="s">
        <v>93</v>
      </c>
      <c r="G13" s="390">
        <v>100</v>
      </c>
      <c r="H13" s="391">
        <f>H21+H23</f>
        <v>486500</v>
      </c>
      <c r="I13" s="409">
        <f>I23/G23*100</f>
        <v>14.583333333333334</v>
      </c>
      <c r="J13" s="391">
        <f>J21+J23</f>
        <v>124815</v>
      </c>
      <c r="K13" s="390">
        <v>100</v>
      </c>
      <c r="L13" s="391">
        <v>55000</v>
      </c>
      <c r="M13" s="390">
        <v>100</v>
      </c>
      <c r="N13" s="391">
        <v>55000</v>
      </c>
      <c r="O13" s="390">
        <f>O21+O23</f>
        <v>0</v>
      </c>
      <c r="P13" s="391">
        <f>P21+P23</f>
        <v>0</v>
      </c>
      <c r="Q13" s="40"/>
      <c r="R13" s="41"/>
      <c r="S13" s="40"/>
      <c r="T13" s="41"/>
      <c r="U13" s="40"/>
      <c r="V13" s="41"/>
      <c r="W13" s="390">
        <f>O13+Q13+S13+U13</f>
        <v>0</v>
      </c>
      <c r="X13" s="394">
        <f>P13+R13+T13+V13</f>
        <v>0</v>
      </c>
      <c r="Y13" s="409">
        <f>W13/M13*100</f>
        <v>0</v>
      </c>
      <c r="Z13" s="393">
        <f>X13/N13*100</f>
        <v>0</v>
      </c>
      <c r="AA13" s="409">
        <f t="shared" si="0"/>
        <v>14.583333333333334</v>
      </c>
      <c r="AB13" s="393">
        <f>J13+X13</f>
        <v>124815</v>
      </c>
      <c r="AC13" s="435">
        <f t="shared" si="1"/>
        <v>14.583333333333334</v>
      </c>
      <c r="AD13" s="408">
        <f>AB13/H13*100</f>
        <v>25.655704008221992</v>
      </c>
      <c r="AE13" s="39"/>
      <c r="AG13" s="442"/>
      <c r="AH13" s="442">
        <v>14999</v>
      </c>
      <c r="AI13" s="442">
        <v>9892.2999999999993</v>
      </c>
      <c r="AJ13" s="442">
        <v>36280.629999999997</v>
      </c>
      <c r="AK13" s="443"/>
    </row>
    <row r="14" spans="1:38" s="376" customFormat="1" ht="48.75" customHeight="1" x14ac:dyDescent="0.25">
      <c r="A14" s="39"/>
      <c r="B14" s="62"/>
      <c r="C14" s="21"/>
      <c r="D14" s="22"/>
      <c r="E14" s="395" t="s">
        <v>86</v>
      </c>
      <c r="F14" s="388" t="s">
        <v>93</v>
      </c>
      <c r="G14" s="390">
        <v>100</v>
      </c>
      <c r="H14" s="391">
        <f>H16+H17</f>
        <v>185000</v>
      </c>
      <c r="I14" s="409">
        <f>(I16+I17)/(G16+G17)*100</f>
        <v>69.230769230769226</v>
      </c>
      <c r="J14" s="393">
        <f>J16+J17</f>
        <v>61171.930000000008</v>
      </c>
      <c r="K14" s="390">
        <v>100</v>
      </c>
      <c r="L14" s="393">
        <v>23084.95</v>
      </c>
      <c r="M14" s="390">
        <v>100</v>
      </c>
      <c r="N14" s="393">
        <v>23084.95</v>
      </c>
      <c r="O14" s="409">
        <f>1/3*100</f>
        <v>33.333333333333329</v>
      </c>
      <c r="P14" s="393">
        <f>P16+P17</f>
        <v>3973.4500000000003</v>
      </c>
      <c r="Q14" s="40"/>
      <c r="R14" s="41"/>
      <c r="S14" s="40"/>
      <c r="T14" s="41"/>
      <c r="U14" s="40"/>
      <c r="V14" s="41"/>
      <c r="W14" s="390">
        <f>O14+Q14+S14+U14</f>
        <v>33.333333333333329</v>
      </c>
      <c r="X14" s="394">
        <f>P14+R14+T14+V14</f>
        <v>3973.4500000000003</v>
      </c>
      <c r="Y14" s="409">
        <f>W14/M14*100</f>
        <v>33.333333333333329</v>
      </c>
      <c r="Z14" s="393">
        <f>X14/N14*100</f>
        <v>17.212296322929006</v>
      </c>
      <c r="AA14" s="409">
        <f t="shared" si="0"/>
        <v>102.56410256410255</v>
      </c>
      <c r="AB14" s="393">
        <f>J14+X14</f>
        <v>65145.380000000005</v>
      </c>
      <c r="AC14" s="435">
        <f t="shared" si="1"/>
        <v>102.56410256410255</v>
      </c>
      <c r="AD14" s="408">
        <f>AB14/H14*100</f>
        <v>35.213718918918921</v>
      </c>
      <c r="AE14" s="39"/>
      <c r="AG14" s="443">
        <f>SUM(AG9:AG13)</f>
        <v>1175847</v>
      </c>
      <c r="AH14" s="443">
        <f>SUM(AH9:AH13)</f>
        <v>1965813</v>
      </c>
      <c r="AI14" s="443">
        <f>SUM(AI9:AI13)</f>
        <v>1787854.3</v>
      </c>
      <c r="AJ14" s="443">
        <f>SUM(AJ9:AJ13)</f>
        <v>1554961.6839999999</v>
      </c>
      <c r="AK14" s="443">
        <f>SUM(AG14:AJ14)</f>
        <v>6484475.9839999992</v>
      </c>
      <c r="AL14" s="450">
        <f>AK14-AK7</f>
        <v>-3</v>
      </c>
    </row>
    <row r="15" spans="1:38" ht="45" customHeight="1" x14ac:dyDescent="0.25">
      <c r="A15" s="7"/>
      <c r="B15" s="63" t="s">
        <v>219</v>
      </c>
      <c r="C15" s="1" t="s">
        <v>185</v>
      </c>
      <c r="D15" s="5" t="s">
        <v>35</v>
      </c>
      <c r="E15" s="17"/>
      <c r="F15" s="7"/>
      <c r="G15" s="373"/>
      <c r="H15" s="373"/>
      <c r="I15" s="372"/>
      <c r="J15" s="422"/>
      <c r="K15" s="19"/>
      <c r="L15" s="68"/>
      <c r="M15" s="19"/>
      <c r="N15" s="68"/>
      <c r="O15" s="19"/>
      <c r="P15" s="9"/>
      <c r="Q15" s="19"/>
      <c r="R15" s="9"/>
      <c r="S15" s="19"/>
      <c r="T15" s="9"/>
      <c r="U15" s="19"/>
      <c r="V15" s="9"/>
      <c r="W15" s="19"/>
      <c r="X15" s="68"/>
      <c r="Y15" s="410"/>
      <c r="Z15" s="29"/>
      <c r="AA15" s="453">
        <f t="shared" si="0"/>
        <v>0</v>
      </c>
      <c r="AB15" s="35"/>
      <c r="AC15" s="432"/>
      <c r="AD15" s="9"/>
      <c r="AE15" s="7"/>
      <c r="AJ15" s="452">
        <f>+'RIIL TW IV PERBAIKAN'!J12+'RIIL TW IV PERBAIKAN'!J20+'RIIL TW IV PERBAIKAN'!J26+'RIIL TW IV PERBAIKAN'!J28+'RIIL TW IV PERBAIKAN'!J64+'RIIL TW IV PERBAIKAN'!Y12+'RIIL TW IV PERBAIKAN'!Y20+'RIIL TW IV PERBAIKAN'!Y26+'RIIL TW IV PERBAIKAN'!Y28+'RIIL TW IV PERBAIKAN'!Y64</f>
        <v>6475271.7800000003</v>
      </c>
      <c r="AK15" s="451">
        <v>6475271.7800000003</v>
      </c>
    </row>
    <row r="16" spans="1:38" ht="35.25" customHeight="1" x14ac:dyDescent="0.25">
      <c r="A16" s="7">
        <v>1</v>
      </c>
      <c r="B16" s="384" t="s">
        <v>220</v>
      </c>
      <c r="C16" s="380" t="s">
        <v>184</v>
      </c>
      <c r="D16" s="6" t="s">
        <v>36</v>
      </c>
      <c r="E16" s="4" t="s">
        <v>87</v>
      </c>
      <c r="F16" s="7" t="s">
        <v>95</v>
      </c>
      <c r="G16" s="372">
        <v>10</v>
      </c>
      <c r="H16" s="373">
        <f>15000+45000+50000+15000</f>
        <v>125000</v>
      </c>
      <c r="I16" s="372">
        <f>3+2+3</f>
        <v>8</v>
      </c>
      <c r="J16" s="424">
        <f>0+14999+9892.3+14114.14+10517.15</f>
        <v>49522.590000000004</v>
      </c>
      <c r="K16" s="19">
        <v>2</v>
      </c>
      <c r="L16" s="75">
        <v>8085.05</v>
      </c>
      <c r="M16" s="19">
        <v>2</v>
      </c>
      <c r="N16" s="29">
        <v>8085.05</v>
      </c>
      <c r="O16" s="19">
        <v>1</v>
      </c>
      <c r="P16" s="29">
        <v>3475.15</v>
      </c>
      <c r="Q16" s="19"/>
      <c r="R16" s="9"/>
      <c r="S16" s="19"/>
      <c r="T16" s="9"/>
      <c r="U16" s="19"/>
      <c r="V16" s="9"/>
      <c r="W16" s="19">
        <f t="shared" ref="W16:W73" si="2">O16+Q16+S16+U16</f>
        <v>1</v>
      </c>
      <c r="X16" s="68">
        <f t="shared" ref="X16:X73" si="3">P16+R16+T16+V16</f>
        <v>3475.15</v>
      </c>
      <c r="Y16" s="410">
        <f t="shared" ref="Y16:Y73" si="4">W16/M16*100</f>
        <v>50</v>
      </c>
      <c r="Z16" s="29">
        <f t="shared" ref="Z16:Z73" si="5">X16/N16*100</f>
        <v>42.982418166863532</v>
      </c>
      <c r="AA16" s="453">
        <f t="shared" si="0"/>
        <v>9</v>
      </c>
      <c r="AB16" s="9">
        <f t="shared" ref="AB16:AB73" si="6">X16+J16</f>
        <v>52997.740000000005</v>
      </c>
      <c r="AC16" s="432">
        <f t="shared" si="1"/>
        <v>90</v>
      </c>
      <c r="AD16" s="29">
        <f>AB16/H16*100</f>
        <v>42.398192000000009</v>
      </c>
      <c r="AE16" s="7"/>
    </row>
    <row r="17" spans="1:31" ht="33" customHeight="1" x14ac:dyDescent="0.25">
      <c r="A17" s="7">
        <v>2</v>
      </c>
      <c r="B17" s="384" t="s">
        <v>221</v>
      </c>
      <c r="C17" s="380" t="s">
        <v>186</v>
      </c>
      <c r="D17" s="6" t="s">
        <v>37</v>
      </c>
      <c r="E17" s="4" t="s">
        <v>88</v>
      </c>
      <c r="F17" s="7" t="s">
        <v>95</v>
      </c>
      <c r="G17" s="372">
        <v>3</v>
      </c>
      <c r="H17" s="373">
        <v>60000</v>
      </c>
      <c r="I17" s="372">
        <v>1</v>
      </c>
      <c r="J17" s="424">
        <v>11649.34</v>
      </c>
      <c r="K17" s="19">
        <v>1</v>
      </c>
      <c r="L17" s="76">
        <v>14999.9</v>
      </c>
      <c r="M17" s="19">
        <v>1</v>
      </c>
      <c r="N17" s="23">
        <v>14999.9</v>
      </c>
      <c r="O17" s="19">
        <v>0</v>
      </c>
      <c r="P17" s="23">
        <v>498.3</v>
      </c>
      <c r="Q17" s="19"/>
      <c r="R17" s="9"/>
      <c r="S17" s="19"/>
      <c r="T17" s="9"/>
      <c r="U17" s="19"/>
      <c r="V17" s="9"/>
      <c r="W17" s="19">
        <f t="shared" si="2"/>
        <v>0</v>
      </c>
      <c r="X17" s="68">
        <f t="shared" si="3"/>
        <v>498.3</v>
      </c>
      <c r="Y17" s="410">
        <f t="shared" si="4"/>
        <v>0</v>
      </c>
      <c r="Z17" s="29">
        <f t="shared" si="5"/>
        <v>3.3220221468143123</v>
      </c>
      <c r="AA17" s="453">
        <f t="shared" si="0"/>
        <v>1</v>
      </c>
      <c r="AB17" s="9">
        <f t="shared" si="6"/>
        <v>12147.64</v>
      </c>
      <c r="AC17" s="432">
        <f t="shared" ref="AC17:AC65" si="7">AA17/G17*100</f>
        <v>33.333333333333329</v>
      </c>
      <c r="AD17" s="29">
        <f t="shared" ref="AD17:AD65" si="8">AB17/H17*100</f>
        <v>20.246066666666664</v>
      </c>
      <c r="AE17" s="7"/>
    </row>
    <row r="18" spans="1:31" ht="36" customHeight="1" x14ac:dyDescent="0.25">
      <c r="A18" s="7"/>
      <c r="B18" s="384"/>
      <c r="C18" s="379"/>
      <c r="D18" s="5" t="s">
        <v>38</v>
      </c>
      <c r="E18" s="17"/>
      <c r="F18" s="7"/>
      <c r="G18" s="372"/>
      <c r="H18" s="373"/>
      <c r="I18" s="372"/>
      <c r="J18" s="422"/>
      <c r="K18" s="19"/>
      <c r="L18" s="29"/>
      <c r="M18" s="19"/>
      <c r="N18" s="29"/>
      <c r="O18" s="19"/>
      <c r="P18" s="9"/>
      <c r="Q18" s="19"/>
      <c r="R18" s="9"/>
      <c r="S18" s="19"/>
      <c r="T18" s="9"/>
      <c r="U18" s="19"/>
      <c r="V18" s="9"/>
      <c r="W18" s="19"/>
      <c r="X18" s="68"/>
      <c r="Y18" s="410"/>
      <c r="Z18" s="29"/>
      <c r="AA18" s="453">
        <f t="shared" si="0"/>
        <v>0</v>
      </c>
      <c r="AB18" s="9"/>
      <c r="AC18" s="432"/>
      <c r="AD18" s="29"/>
      <c r="AE18" s="7"/>
    </row>
    <row r="19" spans="1:31" ht="36" customHeight="1" x14ac:dyDescent="0.25">
      <c r="A19" s="7">
        <v>3</v>
      </c>
      <c r="B19" s="385"/>
      <c r="C19" s="379"/>
      <c r="D19" s="6" t="s">
        <v>39</v>
      </c>
      <c r="E19" s="4" t="s">
        <v>89</v>
      </c>
      <c r="F19" s="7" t="s">
        <v>94</v>
      </c>
      <c r="G19" s="372"/>
      <c r="H19" s="373"/>
      <c r="I19" s="372"/>
      <c r="J19" s="422"/>
      <c r="K19" s="19"/>
      <c r="L19" s="29"/>
      <c r="M19" s="19">
        <v>12</v>
      </c>
      <c r="N19" s="29">
        <v>3458289.74</v>
      </c>
      <c r="O19" s="19">
        <v>3</v>
      </c>
      <c r="P19" s="68">
        <v>636785.30599999998</v>
      </c>
      <c r="Q19" s="19"/>
      <c r="R19" s="9"/>
      <c r="S19" s="19"/>
      <c r="T19" s="9"/>
      <c r="U19" s="19"/>
      <c r="V19" s="9"/>
      <c r="W19" s="19">
        <f t="shared" si="2"/>
        <v>3</v>
      </c>
      <c r="X19" s="68">
        <f t="shared" si="3"/>
        <v>636785.30599999998</v>
      </c>
      <c r="Y19" s="410">
        <f t="shared" si="4"/>
        <v>25</v>
      </c>
      <c r="Z19" s="29">
        <f t="shared" si="5"/>
        <v>18.413301194364355</v>
      </c>
      <c r="AA19" s="453">
        <f t="shared" si="0"/>
        <v>3</v>
      </c>
      <c r="AB19" s="9">
        <f t="shared" si="6"/>
        <v>636785.30599999998</v>
      </c>
      <c r="AC19" s="432" t="e">
        <f>AA19/G19*100</f>
        <v>#DIV/0!</v>
      </c>
      <c r="AD19" s="29" t="e">
        <f>AB19/H19*100</f>
        <v>#DIV/0!</v>
      </c>
      <c r="AE19" s="7"/>
    </row>
    <row r="20" spans="1:31" ht="33" customHeight="1" x14ac:dyDescent="0.25">
      <c r="A20" s="7"/>
      <c r="B20" s="385" t="s">
        <v>222</v>
      </c>
      <c r="C20" s="380" t="s">
        <v>181</v>
      </c>
      <c r="D20" s="5" t="s">
        <v>40</v>
      </c>
      <c r="E20" s="17"/>
      <c r="F20" s="7"/>
      <c r="G20" s="372"/>
      <c r="H20" s="373"/>
      <c r="I20" s="372"/>
      <c r="J20" s="422"/>
      <c r="K20" s="19"/>
      <c r="L20" s="29"/>
      <c r="M20" s="19"/>
      <c r="N20" s="29"/>
      <c r="O20" s="19"/>
      <c r="P20" s="9"/>
      <c r="Q20" s="19"/>
      <c r="R20" s="9"/>
      <c r="S20" s="19"/>
      <c r="T20" s="9"/>
      <c r="U20" s="19"/>
      <c r="V20" s="9"/>
      <c r="W20" s="19"/>
      <c r="X20" s="68"/>
      <c r="Y20" s="410"/>
      <c r="Z20" s="29"/>
      <c r="AA20" s="453">
        <f t="shared" si="0"/>
        <v>0</v>
      </c>
      <c r="AB20" s="9"/>
      <c r="AC20" s="432"/>
      <c r="AD20" s="29"/>
      <c r="AE20" s="7"/>
    </row>
    <row r="21" spans="1:31" ht="37.5" customHeight="1" x14ac:dyDescent="0.25">
      <c r="A21" s="7">
        <v>4</v>
      </c>
      <c r="B21" s="386" t="s">
        <v>422</v>
      </c>
      <c r="C21" s="380" t="s">
        <v>180</v>
      </c>
      <c r="D21" s="6" t="s">
        <v>41</v>
      </c>
      <c r="E21" s="4" t="s">
        <v>90</v>
      </c>
      <c r="F21" s="7" t="s">
        <v>195</v>
      </c>
      <c r="G21" s="372">
        <v>235</v>
      </c>
      <c r="H21" s="373">
        <v>221500</v>
      </c>
      <c r="I21" s="372">
        <f>0+50+95+0</f>
        <v>145</v>
      </c>
      <c r="J21" s="373">
        <f>0+22500+54815+0</f>
        <v>77315</v>
      </c>
      <c r="K21" s="19">
        <v>60</v>
      </c>
      <c r="L21" s="9">
        <v>30000</v>
      </c>
      <c r="M21" s="19">
        <v>60</v>
      </c>
      <c r="N21" s="9">
        <v>30000</v>
      </c>
      <c r="O21" s="19">
        <v>0</v>
      </c>
      <c r="P21" s="9">
        <v>0</v>
      </c>
      <c r="Q21" s="19"/>
      <c r="R21" s="9"/>
      <c r="S21" s="19"/>
      <c r="T21" s="9"/>
      <c r="U21" s="19"/>
      <c r="V21" s="9"/>
      <c r="W21" s="19">
        <f t="shared" si="2"/>
        <v>0</v>
      </c>
      <c r="X21" s="68">
        <f t="shared" si="3"/>
        <v>0</v>
      </c>
      <c r="Y21" s="410">
        <f t="shared" si="4"/>
        <v>0</v>
      </c>
      <c r="Z21" s="29">
        <f t="shared" si="5"/>
        <v>0</v>
      </c>
      <c r="AA21" s="453">
        <f t="shared" si="0"/>
        <v>145</v>
      </c>
      <c r="AB21" s="9">
        <f t="shared" si="6"/>
        <v>77315</v>
      </c>
      <c r="AC21" s="432">
        <f t="shared" si="7"/>
        <v>61.702127659574465</v>
      </c>
      <c r="AD21" s="29">
        <f t="shared" si="8"/>
        <v>34.905191873589168</v>
      </c>
      <c r="AE21" s="7"/>
    </row>
    <row r="22" spans="1:31" ht="45" customHeight="1" x14ac:dyDescent="0.25">
      <c r="A22" s="7"/>
      <c r="B22" s="385" t="s">
        <v>224</v>
      </c>
      <c r="C22" s="380" t="s">
        <v>183</v>
      </c>
      <c r="D22" s="6"/>
      <c r="E22" s="4"/>
      <c r="F22" s="7"/>
      <c r="G22" s="372"/>
      <c r="H22" s="373"/>
      <c r="I22" s="372"/>
      <c r="J22" s="373"/>
      <c r="K22" s="19"/>
      <c r="L22" s="29"/>
      <c r="M22" s="19"/>
      <c r="N22" s="29"/>
      <c r="O22" s="19"/>
      <c r="P22" s="9"/>
      <c r="Q22" s="19"/>
      <c r="R22" s="9"/>
      <c r="S22" s="19"/>
      <c r="T22" s="9"/>
      <c r="U22" s="19"/>
      <c r="V22" s="9"/>
      <c r="W22" s="19"/>
      <c r="X22" s="68"/>
      <c r="Y22" s="410"/>
      <c r="Z22" s="29"/>
      <c r="AA22" s="453">
        <f t="shared" si="0"/>
        <v>0</v>
      </c>
      <c r="AB22" s="9"/>
      <c r="AC22" s="432"/>
      <c r="AD22" s="29"/>
      <c r="AE22" s="7"/>
    </row>
    <row r="23" spans="1:31" ht="35.25" customHeight="1" x14ac:dyDescent="0.25">
      <c r="A23" s="7">
        <v>5</v>
      </c>
      <c r="B23" s="384" t="s">
        <v>225</v>
      </c>
      <c r="C23" s="380" t="s">
        <v>182</v>
      </c>
      <c r="D23" s="6" t="s">
        <v>42</v>
      </c>
      <c r="E23" s="4" t="s">
        <v>91</v>
      </c>
      <c r="F23" s="7" t="s">
        <v>112</v>
      </c>
      <c r="G23" s="372">
        <v>96</v>
      </c>
      <c r="H23" s="373">
        <v>265000</v>
      </c>
      <c r="I23" s="372">
        <f>0+5+9+0</f>
        <v>14</v>
      </c>
      <c r="J23" s="373">
        <f>0+22500+25000+0</f>
        <v>47500</v>
      </c>
      <c r="K23" s="19">
        <v>14</v>
      </c>
      <c r="L23" s="9">
        <v>25000</v>
      </c>
      <c r="M23" s="19">
        <v>9</v>
      </c>
      <c r="N23" s="9">
        <v>25000</v>
      </c>
      <c r="O23" s="19">
        <v>0</v>
      </c>
      <c r="P23" s="9">
        <v>0</v>
      </c>
      <c r="Q23" s="19"/>
      <c r="R23" s="9"/>
      <c r="S23" s="19"/>
      <c r="T23" s="9"/>
      <c r="U23" s="19"/>
      <c r="V23" s="9"/>
      <c r="W23" s="19">
        <f t="shared" si="2"/>
        <v>0</v>
      </c>
      <c r="X23" s="68">
        <f t="shared" si="3"/>
        <v>0</v>
      </c>
      <c r="Y23" s="410">
        <f t="shared" si="4"/>
        <v>0</v>
      </c>
      <c r="Z23" s="29">
        <f t="shared" si="5"/>
        <v>0</v>
      </c>
      <c r="AA23" s="453">
        <f t="shared" si="0"/>
        <v>14</v>
      </c>
      <c r="AB23" s="9">
        <f t="shared" si="6"/>
        <v>47500</v>
      </c>
      <c r="AC23" s="432">
        <f t="shared" si="7"/>
        <v>14.583333333333334</v>
      </c>
      <c r="AD23" s="29">
        <f t="shared" si="8"/>
        <v>17.924528301886792</v>
      </c>
      <c r="AE23" s="7"/>
    </row>
    <row r="24" spans="1:31" s="376" customFormat="1" ht="33" customHeight="1" x14ac:dyDescent="0.25">
      <c r="A24" s="33"/>
      <c r="B24" s="385" t="s">
        <v>187</v>
      </c>
      <c r="C24" s="380" t="s">
        <v>171</v>
      </c>
      <c r="D24" s="38" t="s">
        <v>43</v>
      </c>
      <c r="E24" s="32"/>
      <c r="F24" s="52"/>
      <c r="G24" s="374"/>
      <c r="H24" s="421"/>
      <c r="I24" s="374"/>
      <c r="J24" s="437"/>
      <c r="K24" s="34"/>
      <c r="L24" s="36"/>
      <c r="M24" s="54"/>
      <c r="N24" s="50"/>
      <c r="O24" s="34"/>
      <c r="P24" s="35"/>
      <c r="Q24" s="34"/>
      <c r="R24" s="35"/>
      <c r="S24" s="34"/>
      <c r="T24" s="35"/>
      <c r="U24" s="34"/>
      <c r="V24" s="35"/>
      <c r="W24" s="34"/>
      <c r="X24" s="429"/>
      <c r="Y24" s="411"/>
      <c r="Z24" s="36"/>
      <c r="AA24" s="453">
        <f t="shared" si="0"/>
        <v>0</v>
      </c>
      <c r="AB24" s="9"/>
      <c r="AC24" s="37"/>
      <c r="AD24" s="36"/>
      <c r="AE24" s="33"/>
    </row>
    <row r="25" spans="1:31" ht="32.25" customHeight="1" x14ac:dyDescent="0.25">
      <c r="A25" s="7">
        <v>6</v>
      </c>
      <c r="B25" s="384" t="s">
        <v>202</v>
      </c>
      <c r="C25" s="381" t="s">
        <v>173</v>
      </c>
      <c r="D25" s="13" t="s">
        <v>44</v>
      </c>
      <c r="E25" s="51" t="s">
        <v>92</v>
      </c>
      <c r="F25" s="46" t="s">
        <v>94</v>
      </c>
      <c r="G25" s="375">
        <v>60</v>
      </c>
      <c r="H25" s="373">
        <v>224000</v>
      </c>
      <c r="I25" s="372">
        <f>12+12+12+12</f>
        <v>48</v>
      </c>
      <c r="J25" s="423">
        <f>39219+39999+31995+21499.5</f>
        <v>132712.5</v>
      </c>
      <c r="K25" s="19">
        <v>12</v>
      </c>
      <c r="L25" s="65">
        <v>46887.9</v>
      </c>
      <c r="M25" s="48">
        <v>12</v>
      </c>
      <c r="N25" s="70">
        <v>96622.7</v>
      </c>
      <c r="O25" s="28">
        <v>3</v>
      </c>
      <c r="P25" s="23">
        <v>10426.9</v>
      </c>
      <c r="Q25" s="19"/>
      <c r="R25" s="9"/>
      <c r="S25" s="19"/>
      <c r="T25" s="9"/>
      <c r="U25" s="19"/>
      <c r="V25" s="9"/>
      <c r="W25" s="19">
        <f t="shared" si="2"/>
        <v>3</v>
      </c>
      <c r="X25" s="68">
        <f t="shared" si="3"/>
        <v>10426.9</v>
      </c>
      <c r="Y25" s="410">
        <f t="shared" si="4"/>
        <v>25</v>
      </c>
      <c r="Z25" s="29">
        <f t="shared" si="5"/>
        <v>10.791356482482895</v>
      </c>
      <c r="AA25" s="453">
        <f t="shared" si="0"/>
        <v>51</v>
      </c>
      <c r="AB25" s="9">
        <f t="shared" si="6"/>
        <v>143139.4</v>
      </c>
      <c r="AC25" s="432">
        <f t="shared" si="7"/>
        <v>85</v>
      </c>
      <c r="AD25" s="29">
        <f t="shared" si="8"/>
        <v>63.901517857142856</v>
      </c>
      <c r="AE25" s="7"/>
    </row>
    <row r="26" spans="1:31" ht="31.5" customHeight="1" x14ac:dyDescent="0.25">
      <c r="A26" s="7"/>
      <c r="B26" s="384" t="s">
        <v>203</v>
      </c>
      <c r="C26" s="381" t="s">
        <v>44</v>
      </c>
      <c r="D26" s="14"/>
      <c r="E26" s="51" t="s">
        <v>96</v>
      </c>
      <c r="F26" s="48"/>
      <c r="G26" s="375">
        <v>60</v>
      </c>
      <c r="H26" s="373">
        <v>167500</v>
      </c>
      <c r="I26" s="372">
        <f>12+12+12+12</f>
        <v>48</v>
      </c>
      <c r="J26" s="423">
        <f>21595+24716+41560+43561.5</f>
        <v>131432.5</v>
      </c>
      <c r="K26" s="19">
        <v>12</v>
      </c>
      <c r="L26" s="66">
        <v>45000</v>
      </c>
      <c r="M26" s="48"/>
      <c r="N26" s="49"/>
      <c r="O26" s="28">
        <v>3</v>
      </c>
      <c r="P26" s="9"/>
      <c r="Q26" s="19"/>
      <c r="R26" s="9"/>
      <c r="S26" s="19"/>
      <c r="T26" s="9"/>
      <c r="U26" s="19"/>
      <c r="V26" s="9"/>
      <c r="W26" s="418">
        <f t="shared" si="2"/>
        <v>3</v>
      </c>
      <c r="X26" s="431">
        <f t="shared" si="3"/>
        <v>0</v>
      </c>
      <c r="Y26" s="419" t="e">
        <f t="shared" si="4"/>
        <v>#DIV/0!</v>
      </c>
      <c r="Z26" s="420" t="e">
        <f t="shared" si="5"/>
        <v>#DIV/0!</v>
      </c>
      <c r="AA26" s="453">
        <f t="shared" si="0"/>
        <v>51</v>
      </c>
      <c r="AB26" s="142">
        <f t="shared" si="6"/>
        <v>131432.5</v>
      </c>
      <c r="AC26" s="433">
        <f t="shared" si="7"/>
        <v>85</v>
      </c>
      <c r="AD26" s="420">
        <f t="shared" si="8"/>
        <v>78.467164179104472</v>
      </c>
      <c r="AE26" s="7"/>
    </row>
    <row r="27" spans="1:31" ht="46.5" customHeight="1" x14ac:dyDescent="0.25">
      <c r="A27" s="7">
        <v>7</v>
      </c>
      <c r="B27" s="384" t="s">
        <v>204</v>
      </c>
      <c r="C27" s="380" t="s">
        <v>174</v>
      </c>
      <c r="D27" s="14" t="s">
        <v>45</v>
      </c>
      <c r="E27" s="4" t="s">
        <v>97</v>
      </c>
      <c r="F27" s="47" t="s">
        <v>94</v>
      </c>
      <c r="G27" s="372">
        <v>60</v>
      </c>
      <c r="H27" s="373">
        <v>545000</v>
      </c>
      <c r="I27" s="372">
        <f>12+12+12+12</f>
        <v>48</v>
      </c>
      <c r="J27" s="422">
        <f>98426+84665+104792+161491.228</f>
        <v>449374.228</v>
      </c>
      <c r="K27" s="19">
        <v>11</v>
      </c>
      <c r="L27" s="9">
        <v>127501</v>
      </c>
      <c r="M27" s="55">
        <v>12</v>
      </c>
      <c r="N27" s="67">
        <v>127501</v>
      </c>
      <c r="O27" s="19">
        <v>2</v>
      </c>
      <c r="P27" s="23">
        <v>23478.5</v>
      </c>
      <c r="Q27" s="19"/>
      <c r="R27" s="9"/>
      <c r="S27" s="19"/>
      <c r="T27" s="9"/>
      <c r="U27" s="19"/>
      <c r="V27" s="9"/>
      <c r="W27" s="19">
        <f t="shared" si="2"/>
        <v>2</v>
      </c>
      <c r="X27" s="68">
        <f t="shared" si="3"/>
        <v>23478.5</v>
      </c>
      <c r="Y27" s="410">
        <f t="shared" si="4"/>
        <v>16.666666666666664</v>
      </c>
      <c r="Z27" s="29">
        <f t="shared" si="5"/>
        <v>18.414365377526451</v>
      </c>
      <c r="AA27" s="453">
        <f t="shared" si="0"/>
        <v>50</v>
      </c>
      <c r="AB27" s="9">
        <f t="shared" si="6"/>
        <v>472852.728</v>
      </c>
      <c r="AC27" s="432">
        <f t="shared" si="7"/>
        <v>83.333333333333343</v>
      </c>
      <c r="AD27" s="29">
        <f t="shared" si="8"/>
        <v>86.761968440366971</v>
      </c>
      <c r="AE27" s="7"/>
    </row>
    <row r="28" spans="1:31" ht="33.75" customHeight="1" x14ac:dyDescent="0.25">
      <c r="A28" s="7">
        <v>8</v>
      </c>
      <c r="B28" s="384" t="s">
        <v>206</v>
      </c>
      <c r="C28" s="380" t="s">
        <v>190</v>
      </c>
      <c r="D28" s="6" t="s">
        <v>46</v>
      </c>
      <c r="E28" s="4" t="s">
        <v>98</v>
      </c>
      <c r="F28" s="7" t="s">
        <v>94</v>
      </c>
      <c r="G28" s="372">
        <v>60</v>
      </c>
      <c r="H28" s="373">
        <v>175500</v>
      </c>
      <c r="I28" s="372">
        <f>12+12+12+12</f>
        <v>48</v>
      </c>
      <c r="J28" s="423">
        <f>33000+29995+34978+45485.3</f>
        <v>143458.29999999999</v>
      </c>
      <c r="K28" s="19">
        <v>12</v>
      </c>
      <c r="L28" s="9">
        <v>35000</v>
      </c>
      <c r="M28" s="19">
        <v>12</v>
      </c>
      <c r="N28" s="9">
        <v>35000</v>
      </c>
      <c r="O28" s="19">
        <v>3</v>
      </c>
      <c r="P28" s="29">
        <v>9582.65</v>
      </c>
      <c r="Q28" s="19"/>
      <c r="R28" s="9"/>
      <c r="S28" s="19"/>
      <c r="T28" s="9"/>
      <c r="U28" s="19"/>
      <c r="V28" s="9"/>
      <c r="W28" s="19">
        <f t="shared" si="2"/>
        <v>3</v>
      </c>
      <c r="X28" s="68">
        <f t="shared" si="3"/>
        <v>9582.65</v>
      </c>
      <c r="Y28" s="410">
        <f t="shared" si="4"/>
        <v>25</v>
      </c>
      <c r="Z28" s="29">
        <f t="shared" si="5"/>
        <v>27.378999999999998</v>
      </c>
      <c r="AA28" s="453">
        <f t="shared" si="0"/>
        <v>51</v>
      </c>
      <c r="AB28" s="9">
        <f t="shared" si="6"/>
        <v>153040.94999999998</v>
      </c>
      <c r="AC28" s="432">
        <f t="shared" si="7"/>
        <v>85</v>
      </c>
      <c r="AD28" s="29">
        <f t="shared" si="8"/>
        <v>87.202820512820495</v>
      </c>
      <c r="AE28" s="7"/>
    </row>
    <row r="29" spans="1:31" ht="45" customHeight="1" x14ac:dyDescent="0.25">
      <c r="A29" s="7">
        <v>9</v>
      </c>
      <c r="B29" s="384" t="s">
        <v>205</v>
      </c>
      <c r="C29" s="380" t="s">
        <v>191</v>
      </c>
      <c r="D29" s="6" t="s">
        <v>47</v>
      </c>
      <c r="E29" s="4" t="s">
        <v>99</v>
      </c>
      <c r="F29" s="7" t="s">
        <v>94</v>
      </c>
      <c r="G29" s="372">
        <v>60</v>
      </c>
      <c r="H29" s="373">
        <v>3655000</v>
      </c>
      <c r="I29" s="372">
        <f>12+12+12+12</f>
        <v>48</v>
      </c>
      <c r="J29" s="422">
        <f>274635+729772+699881+489525.481</f>
        <v>2193813.4810000001</v>
      </c>
      <c r="K29" s="19">
        <v>12</v>
      </c>
      <c r="L29" s="9">
        <v>750000</v>
      </c>
      <c r="M29" s="19">
        <v>12</v>
      </c>
      <c r="N29" s="9">
        <v>637500</v>
      </c>
      <c r="O29" s="19">
        <v>3</v>
      </c>
      <c r="P29" s="23">
        <v>57122.5</v>
      </c>
      <c r="Q29" s="19"/>
      <c r="R29" s="9"/>
      <c r="S29" s="19"/>
      <c r="T29" s="9"/>
      <c r="U29" s="19"/>
      <c r="V29" s="9"/>
      <c r="W29" s="19">
        <f t="shared" si="2"/>
        <v>3</v>
      </c>
      <c r="X29" s="68">
        <f t="shared" si="3"/>
        <v>57122.5</v>
      </c>
      <c r="Y29" s="410">
        <f t="shared" si="4"/>
        <v>25</v>
      </c>
      <c r="Z29" s="29">
        <f t="shared" si="5"/>
        <v>8.9603921568627456</v>
      </c>
      <c r="AA29" s="453">
        <f t="shared" si="0"/>
        <v>51</v>
      </c>
      <c r="AB29" s="9">
        <f t="shared" si="6"/>
        <v>2250935.9810000001</v>
      </c>
      <c r="AC29" s="432">
        <f t="shared" si="7"/>
        <v>85</v>
      </c>
      <c r="AD29" s="29">
        <f t="shared" si="8"/>
        <v>61.585115759233929</v>
      </c>
      <c r="AE29" s="7"/>
    </row>
    <row r="30" spans="1:31" s="376" customFormat="1" ht="45.75" customHeight="1" x14ac:dyDescent="0.25">
      <c r="A30" s="33"/>
      <c r="B30" s="385" t="s">
        <v>201</v>
      </c>
      <c r="C30" s="380" t="s">
        <v>175</v>
      </c>
      <c r="D30" s="5" t="s">
        <v>48</v>
      </c>
      <c r="E30" s="32"/>
      <c r="F30" s="33"/>
      <c r="G30" s="374"/>
      <c r="H30" s="421"/>
      <c r="I30" s="374"/>
      <c r="J30" s="437"/>
      <c r="K30" s="34"/>
      <c r="L30" s="36"/>
      <c r="M30" s="34"/>
      <c r="N30" s="36"/>
      <c r="O30" s="34"/>
      <c r="P30" s="35"/>
      <c r="Q30" s="34"/>
      <c r="R30" s="35"/>
      <c r="S30" s="34"/>
      <c r="T30" s="35"/>
      <c r="U30" s="34"/>
      <c r="V30" s="35"/>
      <c r="W30" s="34"/>
      <c r="X30" s="429"/>
      <c r="Y30" s="411"/>
      <c r="Z30" s="36"/>
      <c r="AA30" s="453"/>
      <c r="AB30" s="9"/>
      <c r="AC30" s="432"/>
      <c r="AD30" s="35"/>
      <c r="AE30" s="33"/>
    </row>
    <row r="31" spans="1:31" ht="39" customHeight="1" x14ac:dyDescent="0.25">
      <c r="A31" s="7">
        <v>10</v>
      </c>
      <c r="B31" s="384" t="s">
        <v>257</v>
      </c>
      <c r="C31" s="380" t="s">
        <v>256</v>
      </c>
      <c r="D31" s="6" t="s">
        <v>49</v>
      </c>
      <c r="E31" s="4" t="s">
        <v>100</v>
      </c>
      <c r="F31" s="15" t="s">
        <v>251</v>
      </c>
      <c r="G31" s="372">
        <v>48</v>
      </c>
      <c r="H31" s="373">
        <v>455000</v>
      </c>
      <c r="I31" s="372">
        <v>0</v>
      </c>
      <c r="J31" s="373">
        <v>0</v>
      </c>
      <c r="K31" s="19">
        <v>12</v>
      </c>
      <c r="L31" s="9">
        <v>124319</v>
      </c>
      <c r="M31" s="19">
        <v>197</v>
      </c>
      <c r="N31" s="9">
        <v>124310</v>
      </c>
      <c r="O31" s="19">
        <v>0</v>
      </c>
      <c r="P31" s="9">
        <v>0</v>
      </c>
      <c r="Q31" s="19"/>
      <c r="R31" s="9"/>
      <c r="S31" s="19"/>
      <c r="T31" s="9"/>
      <c r="U31" s="19"/>
      <c r="V31" s="9"/>
      <c r="W31" s="19">
        <f t="shared" si="2"/>
        <v>0</v>
      </c>
      <c r="X31" s="68">
        <f t="shared" si="3"/>
        <v>0</v>
      </c>
      <c r="Y31" s="410">
        <f t="shared" si="4"/>
        <v>0</v>
      </c>
      <c r="Z31" s="29">
        <f t="shared" si="5"/>
        <v>0</v>
      </c>
      <c r="AA31" s="453">
        <f t="shared" si="0"/>
        <v>0</v>
      </c>
      <c r="AB31" s="9">
        <f t="shared" si="6"/>
        <v>0</v>
      </c>
      <c r="AC31" s="432">
        <f t="shared" si="7"/>
        <v>0</v>
      </c>
      <c r="AD31" s="29">
        <f t="shared" si="8"/>
        <v>0</v>
      </c>
      <c r="AE31" s="7"/>
    </row>
    <row r="32" spans="1:31" ht="33.75" customHeight="1" x14ac:dyDescent="0.25">
      <c r="A32" s="7">
        <v>11</v>
      </c>
      <c r="B32" s="384" t="s">
        <v>226</v>
      </c>
      <c r="C32" s="380" t="s">
        <v>176</v>
      </c>
      <c r="D32" s="6" t="s">
        <v>50</v>
      </c>
      <c r="E32" s="4" t="s">
        <v>102</v>
      </c>
      <c r="F32" s="15" t="s">
        <v>251</v>
      </c>
      <c r="G32" s="372">
        <v>60</v>
      </c>
      <c r="H32" s="373">
        <v>865750</v>
      </c>
      <c r="I32" s="372">
        <v>18</v>
      </c>
      <c r="J32" s="373">
        <f>0+143875+0+0</f>
        <v>143875</v>
      </c>
      <c r="K32" s="19">
        <v>12</v>
      </c>
      <c r="L32" s="9">
        <v>179270</v>
      </c>
      <c r="M32" s="19">
        <v>47</v>
      </c>
      <c r="N32" s="9">
        <v>179270</v>
      </c>
      <c r="O32" s="19">
        <v>0</v>
      </c>
      <c r="P32" s="9">
        <v>0</v>
      </c>
      <c r="Q32" s="19"/>
      <c r="R32" s="9"/>
      <c r="S32" s="19"/>
      <c r="T32" s="9"/>
      <c r="U32" s="19"/>
      <c r="V32" s="9"/>
      <c r="W32" s="19">
        <f t="shared" si="2"/>
        <v>0</v>
      </c>
      <c r="X32" s="68">
        <f t="shared" si="3"/>
        <v>0</v>
      </c>
      <c r="Y32" s="410">
        <f t="shared" si="4"/>
        <v>0</v>
      </c>
      <c r="Z32" s="29">
        <f t="shared" si="5"/>
        <v>0</v>
      </c>
      <c r="AA32" s="453">
        <f t="shared" si="0"/>
        <v>18</v>
      </c>
      <c r="AB32" s="9">
        <f t="shared" si="6"/>
        <v>143875</v>
      </c>
      <c r="AC32" s="432">
        <f t="shared" si="7"/>
        <v>30</v>
      </c>
      <c r="AD32" s="29">
        <f t="shared" si="8"/>
        <v>16.618538839156802</v>
      </c>
      <c r="AE32" s="7"/>
    </row>
    <row r="33" spans="1:32" ht="45.75" customHeight="1" x14ac:dyDescent="0.25">
      <c r="A33" s="7">
        <v>12</v>
      </c>
      <c r="B33" s="384" t="s">
        <v>227</v>
      </c>
      <c r="C33" s="380" t="s">
        <v>177</v>
      </c>
      <c r="D33" s="6" t="s">
        <v>51</v>
      </c>
      <c r="E33" s="4" t="s">
        <v>103</v>
      </c>
      <c r="F33" s="15" t="s">
        <v>251</v>
      </c>
      <c r="G33" s="372">
        <v>60</v>
      </c>
      <c r="H33" s="373">
        <v>397500</v>
      </c>
      <c r="I33" s="372">
        <f>15+9+0+0</f>
        <v>24</v>
      </c>
      <c r="J33" s="373">
        <f>98280+51400+0+0</f>
        <v>149680</v>
      </c>
      <c r="K33" s="19">
        <v>12</v>
      </c>
      <c r="L33" s="9">
        <v>89319</v>
      </c>
      <c r="M33" s="19">
        <v>15</v>
      </c>
      <c r="N33" s="9">
        <v>89310</v>
      </c>
      <c r="O33" s="19">
        <v>0</v>
      </c>
      <c r="P33" s="9">
        <v>0</v>
      </c>
      <c r="Q33" s="19"/>
      <c r="R33" s="9"/>
      <c r="S33" s="19"/>
      <c r="T33" s="9"/>
      <c r="U33" s="19"/>
      <c r="V33" s="9"/>
      <c r="W33" s="19">
        <f t="shared" si="2"/>
        <v>0</v>
      </c>
      <c r="X33" s="68">
        <f t="shared" si="3"/>
        <v>0</v>
      </c>
      <c r="Y33" s="410">
        <f t="shared" si="4"/>
        <v>0</v>
      </c>
      <c r="Z33" s="29">
        <f t="shared" si="5"/>
        <v>0</v>
      </c>
      <c r="AA33" s="453">
        <f t="shared" si="0"/>
        <v>24</v>
      </c>
      <c r="AB33" s="9">
        <f t="shared" si="6"/>
        <v>149680</v>
      </c>
      <c r="AC33" s="432">
        <f t="shared" si="7"/>
        <v>40</v>
      </c>
      <c r="AD33" s="29">
        <f t="shared" si="8"/>
        <v>37.655345911949681</v>
      </c>
      <c r="AE33" s="7"/>
    </row>
    <row r="34" spans="1:32" s="376" customFormat="1" ht="33.75" customHeight="1" x14ac:dyDescent="0.25">
      <c r="A34" s="33"/>
      <c r="B34" s="385" t="s">
        <v>187</v>
      </c>
      <c r="C34" s="380" t="s">
        <v>171</v>
      </c>
      <c r="D34" s="5" t="s">
        <v>52</v>
      </c>
      <c r="E34" s="1"/>
      <c r="F34" s="33"/>
      <c r="G34" s="374"/>
      <c r="H34" s="421"/>
      <c r="I34" s="374"/>
      <c r="J34" s="437"/>
      <c r="K34" s="34"/>
      <c r="L34" s="36"/>
      <c r="M34" s="34"/>
      <c r="N34" s="36"/>
      <c r="O34" s="34"/>
      <c r="P34" s="35"/>
      <c r="Q34" s="34"/>
      <c r="R34" s="35"/>
      <c r="S34" s="34"/>
      <c r="T34" s="35"/>
      <c r="U34" s="34"/>
      <c r="V34" s="35"/>
      <c r="W34" s="34"/>
      <c r="X34" s="429"/>
      <c r="Y34" s="411"/>
      <c r="Z34" s="36"/>
      <c r="AA34" s="453">
        <f t="shared" si="0"/>
        <v>0</v>
      </c>
      <c r="AB34" s="9"/>
      <c r="AC34" s="434"/>
      <c r="AD34" s="35"/>
      <c r="AE34" s="33"/>
    </row>
    <row r="35" spans="1:32" ht="35.25" customHeight="1" x14ac:dyDescent="0.25">
      <c r="A35" s="7">
        <v>13</v>
      </c>
      <c r="B35" s="384" t="s">
        <v>199</v>
      </c>
      <c r="C35" s="383" t="s">
        <v>53</v>
      </c>
      <c r="D35" s="6" t="s">
        <v>53</v>
      </c>
      <c r="E35" s="4" t="s">
        <v>104</v>
      </c>
      <c r="F35" s="7" t="s">
        <v>94</v>
      </c>
      <c r="G35" s="372">
        <v>60</v>
      </c>
      <c r="H35" s="373">
        <v>705000</v>
      </c>
      <c r="I35" s="372">
        <v>48</v>
      </c>
      <c r="J35" s="422">
        <f>71532+96034+85915+87424.982</f>
        <v>340905.98200000002</v>
      </c>
      <c r="K35" s="19">
        <v>12</v>
      </c>
      <c r="L35" s="9">
        <v>150000</v>
      </c>
      <c r="M35" s="19">
        <v>12</v>
      </c>
      <c r="N35" s="9">
        <v>150000</v>
      </c>
      <c r="O35" s="19">
        <v>3</v>
      </c>
      <c r="P35" s="68">
        <v>21598.556</v>
      </c>
      <c r="Q35" s="19"/>
      <c r="R35" s="9"/>
      <c r="S35" s="19"/>
      <c r="T35" s="9"/>
      <c r="U35" s="19"/>
      <c r="V35" s="9"/>
      <c r="W35" s="19">
        <f t="shared" si="2"/>
        <v>3</v>
      </c>
      <c r="X35" s="68">
        <f t="shared" si="3"/>
        <v>21598.556</v>
      </c>
      <c r="Y35" s="410">
        <f t="shared" si="4"/>
        <v>25</v>
      </c>
      <c r="Z35" s="29">
        <f t="shared" si="5"/>
        <v>14.399037333333334</v>
      </c>
      <c r="AA35" s="453">
        <f t="shared" si="0"/>
        <v>51</v>
      </c>
      <c r="AB35" s="9">
        <f t="shared" si="6"/>
        <v>362504.538</v>
      </c>
      <c r="AC35" s="432">
        <f t="shared" si="7"/>
        <v>85</v>
      </c>
      <c r="AD35" s="29">
        <f t="shared" si="8"/>
        <v>51.419083404255318</v>
      </c>
      <c r="AE35" s="7"/>
    </row>
    <row r="36" spans="1:32" ht="36.75" customHeight="1" x14ac:dyDescent="0.25">
      <c r="A36" s="7">
        <v>14</v>
      </c>
      <c r="B36" s="384" t="s">
        <v>200</v>
      </c>
      <c r="C36" s="380" t="s">
        <v>172</v>
      </c>
      <c r="D36" s="6" t="s">
        <v>54</v>
      </c>
      <c r="E36" s="4" t="s">
        <v>105</v>
      </c>
      <c r="F36" s="7" t="s">
        <v>94</v>
      </c>
      <c r="G36" s="372">
        <v>60</v>
      </c>
      <c r="H36" s="373">
        <v>2200000</v>
      </c>
      <c r="I36" s="372">
        <v>48</v>
      </c>
      <c r="J36" s="422">
        <f>365575+387224+413776+423407.074</f>
        <v>1589982.074</v>
      </c>
      <c r="K36" s="19">
        <v>12</v>
      </c>
      <c r="L36" s="23">
        <v>459897.9</v>
      </c>
      <c r="M36" s="19">
        <v>12</v>
      </c>
      <c r="N36" s="23">
        <v>464496.3</v>
      </c>
      <c r="O36" s="19">
        <v>3</v>
      </c>
      <c r="P36" s="68">
        <v>46649.163</v>
      </c>
      <c r="Q36" s="19"/>
      <c r="R36" s="9"/>
      <c r="S36" s="19"/>
      <c r="T36" s="9"/>
      <c r="U36" s="19"/>
      <c r="V36" s="9"/>
      <c r="W36" s="19">
        <f t="shared" si="2"/>
        <v>3</v>
      </c>
      <c r="X36" s="68">
        <f t="shared" si="3"/>
        <v>46649.163</v>
      </c>
      <c r="Y36" s="410">
        <f t="shared" si="4"/>
        <v>25</v>
      </c>
      <c r="Z36" s="29">
        <f t="shared" si="5"/>
        <v>10.042956854554062</v>
      </c>
      <c r="AA36" s="453">
        <f t="shared" si="0"/>
        <v>51</v>
      </c>
      <c r="AB36" s="9">
        <f t="shared" si="6"/>
        <v>1636631.237</v>
      </c>
      <c r="AC36" s="432">
        <f t="shared" si="7"/>
        <v>85</v>
      </c>
      <c r="AD36" s="29">
        <f t="shared" si="8"/>
        <v>74.392328954545448</v>
      </c>
      <c r="AE36" s="7"/>
    </row>
    <row r="37" spans="1:32" s="376" customFormat="1" ht="46.5" customHeight="1" x14ac:dyDescent="0.25">
      <c r="A37" s="33"/>
      <c r="B37" s="385" t="s">
        <v>201</v>
      </c>
      <c r="C37" s="380" t="s">
        <v>175</v>
      </c>
      <c r="D37" s="5" t="s">
        <v>55</v>
      </c>
      <c r="E37" s="32"/>
      <c r="F37" s="33"/>
      <c r="G37" s="374"/>
      <c r="H37" s="421"/>
      <c r="I37" s="374"/>
      <c r="J37" s="437"/>
      <c r="K37" s="34"/>
      <c r="L37" s="36"/>
      <c r="M37" s="34"/>
      <c r="N37" s="36"/>
      <c r="O37" s="34"/>
      <c r="P37" s="35"/>
      <c r="Q37" s="34"/>
      <c r="R37" s="35"/>
      <c r="S37" s="34"/>
      <c r="T37" s="35"/>
      <c r="U37" s="34"/>
      <c r="V37" s="35"/>
      <c r="W37" s="34"/>
      <c r="X37" s="429"/>
      <c r="Y37" s="411"/>
      <c r="Z37" s="36"/>
      <c r="AA37" s="453">
        <f t="shared" si="0"/>
        <v>0</v>
      </c>
      <c r="AB37" s="9"/>
      <c r="AC37" s="434"/>
      <c r="AD37" s="36"/>
      <c r="AE37" s="33"/>
    </row>
    <row r="38" spans="1:32" ht="63" customHeight="1" x14ac:dyDescent="0.25">
      <c r="A38" s="7">
        <v>15</v>
      </c>
      <c r="B38" s="384" t="s">
        <v>207</v>
      </c>
      <c r="C38" s="380" t="s">
        <v>179</v>
      </c>
      <c r="D38" s="6" t="s">
        <v>56</v>
      </c>
      <c r="E38" s="4" t="s">
        <v>106</v>
      </c>
      <c r="F38" s="15" t="s">
        <v>251</v>
      </c>
      <c r="G38" s="372">
        <v>60</v>
      </c>
      <c r="H38" s="373">
        <v>797500</v>
      </c>
      <c r="I38" s="372">
        <v>48</v>
      </c>
      <c r="J38" s="422">
        <f>173586+140975+196861+166202.989</f>
        <v>677624.98900000006</v>
      </c>
      <c r="K38" s="19">
        <v>33</v>
      </c>
      <c r="L38" s="23">
        <v>199340.7</v>
      </c>
      <c r="M38" s="19">
        <v>20</v>
      </c>
      <c r="N38" s="29">
        <v>199340.22</v>
      </c>
      <c r="O38" s="19">
        <v>5</v>
      </c>
      <c r="P38" s="68">
        <v>42133.186999999998</v>
      </c>
      <c r="Q38" s="19"/>
      <c r="R38" s="9"/>
      <c r="S38" s="19"/>
      <c r="T38" s="9"/>
      <c r="U38" s="19"/>
      <c r="V38" s="9"/>
      <c r="W38" s="19">
        <f t="shared" si="2"/>
        <v>5</v>
      </c>
      <c r="X38" s="68">
        <f t="shared" si="3"/>
        <v>42133.186999999998</v>
      </c>
      <c r="Y38" s="410">
        <f t="shared" si="4"/>
        <v>25</v>
      </c>
      <c r="Z38" s="29">
        <f t="shared" si="5"/>
        <v>21.136320106398998</v>
      </c>
      <c r="AA38" s="453">
        <f t="shared" si="0"/>
        <v>53</v>
      </c>
      <c r="AB38" s="9">
        <f t="shared" si="6"/>
        <v>719758.17600000009</v>
      </c>
      <c r="AC38" s="432">
        <f t="shared" si="7"/>
        <v>88.333333333333329</v>
      </c>
      <c r="AD38" s="29">
        <f t="shared" si="8"/>
        <v>90.251808902821324</v>
      </c>
      <c r="AE38" s="7"/>
    </row>
    <row r="39" spans="1:32" ht="39.75" customHeight="1" x14ac:dyDescent="0.25">
      <c r="A39" s="7">
        <v>16</v>
      </c>
      <c r="B39" s="384" t="s">
        <v>208</v>
      </c>
      <c r="C39" s="380" t="s">
        <v>178</v>
      </c>
      <c r="D39" s="6" t="s">
        <v>57</v>
      </c>
      <c r="E39" s="4" t="s">
        <v>107</v>
      </c>
      <c r="F39" s="15" t="s">
        <v>251</v>
      </c>
      <c r="G39" s="372">
        <v>60</v>
      </c>
      <c r="H39" s="373">
        <v>825000</v>
      </c>
      <c r="I39" s="372">
        <v>48</v>
      </c>
      <c r="J39" s="373">
        <f>0+147510+57940+64578</f>
        <v>270028</v>
      </c>
      <c r="K39" s="19">
        <v>12</v>
      </c>
      <c r="L39" s="29">
        <v>199984.64000000001</v>
      </c>
      <c r="M39" s="19">
        <v>12</v>
      </c>
      <c r="N39" s="29">
        <v>199982.64</v>
      </c>
      <c r="O39" s="19">
        <v>0</v>
      </c>
      <c r="P39" s="9">
        <v>0</v>
      </c>
      <c r="Q39" s="19"/>
      <c r="R39" s="9"/>
      <c r="S39" s="19"/>
      <c r="T39" s="9"/>
      <c r="U39" s="19"/>
      <c r="V39" s="9"/>
      <c r="W39" s="19">
        <f t="shared" si="2"/>
        <v>0</v>
      </c>
      <c r="X39" s="68">
        <f t="shared" si="3"/>
        <v>0</v>
      </c>
      <c r="Y39" s="410">
        <f t="shared" si="4"/>
        <v>0</v>
      </c>
      <c r="Z39" s="29">
        <f t="shared" si="5"/>
        <v>0</v>
      </c>
      <c r="AA39" s="453">
        <f t="shared" si="0"/>
        <v>48</v>
      </c>
      <c r="AB39" s="9">
        <f t="shared" si="6"/>
        <v>270028</v>
      </c>
      <c r="AC39" s="432">
        <v>0</v>
      </c>
      <c r="AD39" s="29">
        <f t="shared" si="8"/>
        <v>32.730666666666671</v>
      </c>
      <c r="AE39" s="7"/>
    </row>
    <row r="40" spans="1:32" ht="60" customHeight="1" x14ac:dyDescent="0.25">
      <c r="A40" s="7">
        <v>17</v>
      </c>
      <c r="B40" s="384" t="s">
        <v>209</v>
      </c>
      <c r="C40" s="380" t="s">
        <v>192</v>
      </c>
      <c r="D40" s="6" t="s">
        <v>58</v>
      </c>
      <c r="E40" s="4" t="s">
        <v>108</v>
      </c>
      <c r="F40" s="15" t="s">
        <v>251</v>
      </c>
      <c r="G40" s="372">
        <v>60</v>
      </c>
      <c r="H40" s="373">
        <v>230000</v>
      </c>
      <c r="I40" s="372">
        <v>48</v>
      </c>
      <c r="J40" s="373">
        <f>0+29650+30450+15505</f>
        <v>75605</v>
      </c>
      <c r="K40" s="19">
        <v>118</v>
      </c>
      <c r="L40" s="68">
        <v>49957.188000000002</v>
      </c>
      <c r="M40" s="19">
        <v>57</v>
      </c>
      <c r="N40" s="9">
        <v>49844</v>
      </c>
      <c r="O40" s="29">
        <v>10</v>
      </c>
      <c r="P40" s="9">
        <v>7210</v>
      </c>
      <c r="Q40" s="19"/>
      <c r="R40" s="9"/>
      <c r="S40" s="19"/>
      <c r="T40" s="9"/>
      <c r="U40" s="19"/>
      <c r="V40" s="9"/>
      <c r="W40" s="19">
        <f t="shared" si="2"/>
        <v>10</v>
      </c>
      <c r="X40" s="68">
        <f t="shared" si="3"/>
        <v>7210</v>
      </c>
      <c r="Y40" s="410">
        <f t="shared" si="4"/>
        <v>17.543859649122805</v>
      </c>
      <c r="Z40" s="29">
        <f t="shared" si="5"/>
        <v>14.465131209373244</v>
      </c>
      <c r="AA40" s="453">
        <f t="shared" si="0"/>
        <v>58</v>
      </c>
      <c r="AB40" s="9">
        <f t="shared" si="6"/>
        <v>82815</v>
      </c>
      <c r="AC40" s="432">
        <f t="shared" si="7"/>
        <v>96.666666666666671</v>
      </c>
      <c r="AD40" s="29">
        <f t="shared" si="8"/>
        <v>36.006521739130434</v>
      </c>
      <c r="AE40" s="7"/>
    </row>
    <row r="41" spans="1:32" s="376" customFormat="1" ht="33" customHeight="1" x14ac:dyDescent="0.25">
      <c r="A41" s="39"/>
      <c r="B41" s="64"/>
      <c r="C41" s="64"/>
      <c r="D41" s="22" t="s">
        <v>31</v>
      </c>
      <c r="E41" s="21"/>
      <c r="F41" s="39" t="s">
        <v>93</v>
      </c>
      <c r="G41" s="40">
        <v>100</v>
      </c>
      <c r="H41" s="378">
        <f>H42</f>
        <v>6727500</v>
      </c>
      <c r="I41" s="412"/>
      <c r="J41" s="426">
        <f>J42</f>
        <v>4511662.2300000004</v>
      </c>
      <c r="K41" s="40">
        <v>100</v>
      </c>
      <c r="L41" s="42">
        <f>SUM(L42)</f>
        <v>1324631.75</v>
      </c>
      <c r="M41" s="40">
        <v>100</v>
      </c>
      <c r="N41" s="42">
        <f>SUM(N42)</f>
        <v>1424631.15</v>
      </c>
      <c r="O41" s="40">
        <v>25</v>
      </c>
      <c r="P41" s="43">
        <f>SUM(P42)</f>
        <v>76207.899999999994</v>
      </c>
      <c r="Q41" s="40"/>
      <c r="R41" s="41"/>
      <c r="S41" s="40"/>
      <c r="T41" s="41"/>
      <c r="U41" s="40"/>
      <c r="V41" s="41"/>
      <c r="W41" s="40">
        <f t="shared" si="2"/>
        <v>25</v>
      </c>
      <c r="X41" s="73">
        <f t="shared" si="3"/>
        <v>76207.899999999994</v>
      </c>
      <c r="Y41" s="407">
        <f t="shared" si="4"/>
        <v>25</v>
      </c>
      <c r="Z41" s="42">
        <f t="shared" si="5"/>
        <v>5.3493074330152055</v>
      </c>
      <c r="AA41" s="407">
        <f t="shared" si="0"/>
        <v>25</v>
      </c>
      <c r="AB41" s="41">
        <f t="shared" si="6"/>
        <v>4587870.1300000008</v>
      </c>
      <c r="AC41" s="435">
        <f t="shared" si="7"/>
        <v>25</v>
      </c>
      <c r="AD41" s="407">
        <f t="shared" si="8"/>
        <v>68.195765589000374</v>
      </c>
      <c r="AE41" s="39"/>
    </row>
    <row r="42" spans="1:32" s="376" customFormat="1" ht="38.25" x14ac:dyDescent="0.25">
      <c r="A42" s="39"/>
      <c r="B42" s="64"/>
      <c r="C42" s="64"/>
      <c r="D42" s="22"/>
      <c r="E42" s="395" t="s">
        <v>109</v>
      </c>
      <c r="F42" s="388" t="s">
        <v>93</v>
      </c>
      <c r="G42" s="390">
        <v>100</v>
      </c>
      <c r="H42" s="414">
        <f>H44+H46+H47+H49+H50+H51+H53+H55+H56+H57+H61</f>
        <v>6727500</v>
      </c>
      <c r="I42" s="415"/>
      <c r="J42" s="427">
        <v>4511662.2300000004</v>
      </c>
      <c r="K42" s="390">
        <v>100</v>
      </c>
      <c r="L42" s="393">
        <v>1324631.75</v>
      </c>
      <c r="M42" s="390">
        <v>100</v>
      </c>
      <c r="N42" s="393">
        <v>1424631.15</v>
      </c>
      <c r="O42" s="390">
        <v>25</v>
      </c>
      <c r="P42" s="392">
        <v>76207.899999999994</v>
      </c>
      <c r="Q42" s="40"/>
      <c r="R42" s="41"/>
      <c r="S42" s="40"/>
      <c r="T42" s="41"/>
      <c r="U42" s="40"/>
      <c r="V42" s="41"/>
      <c r="W42" s="390">
        <f>O42+Q42+S42+U42</f>
        <v>25</v>
      </c>
      <c r="X42" s="394">
        <f>P42+R42+T42+V42</f>
        <v>76207.899999999994</v>
      </c>
      <c r="Y42" s="409">
        <f>W42/M42*100</f>
        <v>25</v>
      </c>
      <c r="Z42" s="393">
        <f>X42/N42*100</f>
        <v>5.3493074330152055</v>
      </c>
      <c r="AA42" s="407">
        <f t="shared" si="0"/>
        <v>25</v>
      </c>
      <c r="AB42" s="391">
        <f t="shared" si="6"/>
        <v>4587870.1300000008</v>
      </c>
      <c r="AC42" s="449">
        <f>AA42/G42*100</f>
        <v>25</v>
      </c>
      <c r="AD42" s="409">
        <f>AB42/H42*100</f>
        <v>68.195765589000374</v>
      </c>
      <c r="AE42" s="39"/>
    </row>
    <row r="43" spans="1:32" s="376" customFormat="1" ht="45.75" customHeight="1" x14ac:dyDescent="0.25">
      <c r="A43" s="33"/>
      <c r="B43" s="385" t="s">
        <v>210</v>
      </c>
      <c r="C43" s="380" t="s">
        <v>167</v>
      </c>
      <c r="D43" s="5" t="s">
        <v>59</v>
      </c>
      <c r="E43" s="1"/>
      <c r="F43" s="33"/>
      <c r="G43" s="374"/>
      <c r="H43" s="421"/>
      <c r="I43" s="374"/>
      <c r="J43" s="421"/>
      <c r="K43" s="34"/>
      <c r="L43" s="36"/>
      <c r="M43" s="34"/>
      <c r="N43" s="36"/>
      <c r="O43" s="34"/>
      <c r="P43" s="35"/>
      <c r="Q43" s="34"/>
      <c r="R43" s="35"/>
      <c r="S43" s="34"/>
      <c r="T43" s="35"/>
      <c r="U43" s="34"/>
      <c r="V43" s="35"/>
      <c r="W43" s="34"/>
      <c r="X43" s="429"/>
      <c r="Y43" s="411"/>
      <c r="Z43" s="36"/>
      <c r="AA43" s="453"/>
      <c r="AB43" s="35"/>
      <c r="AC43" s="37"/>
      <c r="AD43" s="35"/>
      <c r="AE43" s="33"/>
    </row>
    <row r="44" spans="1:32" ht="58.5" customHeight="1" x14ac:dyDescent="0.25">
      <c r="A44" s="7">
        <v>18</v>
      </c>
      <c r="B44" s="384" t="s">
        <v>211</v>
      </c>
      <c r="C44" s="380" t="s">
        <v>29</v>
      </c>
      <c r="D44" s="6" t="s">
        <v>60</v>
      </c>
      <c r="E44" s="4" t="s">
        <v>110</v>
      </c>
      <c r="F44" s="15" t="s">
        <v>250</v>
      </c>
      <c r="G44" s="372">
        <v>625</v>
      </c>
      <c r="H44" s="373">
        <v>135000</v>
      </c>
      <c r="I44" s="372">
        <v>110</v>
      </c>
      <c r="J44" s="373">
        <f>25000+40000+0</f>
        <v>65000</v>
      </c>
      <c r="K44" s="19">
        <v>140</v>
      </c>
      <c r="L44" s="9">
        <v>28000</v>
      </c>
      <c r="M44" s="19">
        <v>27</v>
      </c>
      <c r="N44" s="9">
        <v>28000</v>
      </c>
      <c r="O44" s="19">
        <v>0</v>
      </c>
      <c r="P44" s="9">
        <v>0</v>
      </c>
      <c r="Q44" s="19"/>
      <c r="R44" s="9"/>
      <c r="S44" s="19"/>
      <c r="T44" s="9"/>
      <c r="U44" s="19"/>
      <c r="V44" s="9"/>
      <c r="W44" s="19">
        <f t="shared" si="2"/>
        <v>0</v>
      </c>
      <c r="X44" s="68">
        <f t="shared" si="3"/>
        <v>0</v>
      </c>
      <c r="Y44" s="410">
        <f t="shared" si="4"/>
        <v>0</v>
      </c>
      <c r="Z44" s="29">
        <f t="shared" si="5"/>
        <v>0</v>
      </c>
      <c r="AA44" s="453">
        <f t="shared" si="0"/>
        <v>110</v>
      </c>
      <c r="AB44" s="9">
        <f t="shared" si="6"/>
        <v>65000</v>
      </c>
      <c r="AC44" s="28">
        <f t="shared" si="7"/>
        <v>17.599999999999998</v>
      </c>
      <c r="AD44" s="29">
        <f t="shared" si="8"/>
        <v>48.148148148148145</v>
      </c>
      <c r="AE44" s="7"/>
      <c r="AF44" s="53" t="s">
        <v>417</v>
      </c>
    </row>
    <row r="45" spans="1:32" s="376" customFormat="1" ht="46.5" customHeight="1" x14ac:dyDescent="0.25">
      <c r="A45" s="33"/>
      <c r="B45" s="385"/>
      <c r="C45" s="381"/>
      <c r="D45" s="5" t="s">
        <v>32</v>
      </c>
      <c r="E45" s="1"/>
      <c r="F45" s="33"/>
      <c r="G45" s="374"/>
      <c r="H45" s="421"/>
      <c r="I45" s="374"/>
      <c r="J45" s="421"/>
      <c r="K45" s="34"/>
      <c r="L45" s="36"/>
      <c r="M45" s="34"/>
      <c r="N45" s="36"/>
      <c r="O45" s="34"/>
      <c r="P45" s="35"/>
      <c r="Q45" s="34"/>
      <c r="R45" s="35"/>
      <c r="S45" s="34"/>
      <c r="T45" s="35"/>
      <c r="U45" s="34"/>
      <c r="V45" s="35"/>
      <c r="W45" s="34"/>
      <c r="X45" s="429"/>
      <c r="Y45" s="410"/>
      <c r="Z45" s="29"/>
      <c r="AA45" s="453"/>
      <c r="AB45" s="9"/>
      <c r="AC45" s="28"/>
      <c r="AD45" s="36"/>
      <c r="AE45" s="33"/>
    </row>
    <row r="46" spans="1:32" ht="45.75" customHeight="1" x14ac:dyDescent="0.25">
      <c r="A46" s="7">
        <v>19</v>
      </c>
      <c r="B46" s="384" t="s">
        <v>267</v>
      </c>
      <c r="C46" s="381" t="s">
        <v>168</v>
      </c>
      <c r="D46" s="6" t="s">
        <v>61</v>
      </c>
      <c r="E46" s="4" t="s">
        <v>111</v>
      </c>
      <c r="F46" s="7" t="s">
        <v>112</v>
      </c>
      <c r="G46" s="372">
        <v>3000</v>
      </c>
      <c r="H46" s="373">
        <v>250000</v>
      </c>
      <c r="I46" s="372">
        <f>0+120+105+0</f>
        <v>225</v>
      </c>
      <c r="J46" s="373">
        <f>50000+18500+0</f>
        <v>68500</v>
      </c>
      <c r="K46" s="19">
        <v>250</v>
      </c>
      <c r="L46" s="9">
        <v>50000</v>
      </c>
      <c r="M46" s="19">
        <v>250</v>
      </c>
      <c r="N46" s="9">
        <v>50000</v>
      </c>
      <c r="O46" s="19">
        <v>0</v>
      </c>
      <c r="P46" s="9">
        <v>0</v>
      </c>
      <c r="Q46" s="19"/>
      <c r="R46" s="9"/>
      <c r="S46" s="19"/>
      <c r="T46" s="9"/>
      <c r="U46" s="19"/>
      <c r="V46" s="9"/>
      <c r="W46" s="19">
        <f t="shared" si="2"/>
        <v>0</v>
      </c>
      <c r="X46" s="68">
        <f t="shared" si="3"/>
        <v>0</v>
      </c>
      <c r="Y46" s="410">
        <f t="shared" si="4"/>
        <v>0</v>
      </c>
      <c r="Z46" s="29">
        <f t="shared" si="5"/>
        <v>0</v>
      </c>
      <c r="AA46" s="453">
        <f t="shared" si="0"/>
        <v>225</v>
      </c>
      <c r="AB46" s="9">
        <f t="shared" si="6"/>
        <v>68500</v>
      </c>
      <c r="AC46" s="432">
        <f t="shared" si="7"/>
        <v>7.5</v>
      </c>
      <c r="AD46" s="29">
        <f t="shared" si="8"/>
        <v>27.400000000000002</v>
      </c>
      <c r="AE46" s="7"/>
      <c r="AF46" s="53" t="s">
        <v>417</v>
      </c>
    </row>
    <row r="47" spans="1:32" ht="58.5" customHeight="1" x14ac:dyDescent="0.25">
      <c r="A47" s="7">
        <v>20</v>
      </c>
      <c r="B47" s="384" t="s">
        <v>212</v>
      </c>
      <c r="C47" s="380" t="s">
        <v>166</v>
      </c>
      <c r="D47" s="6" t="s">
        <v>62</v>
      </c>
      <c r="E47" s="4" t="s">
        <v>113</v>
      </c>
      <c r="F47" s="15" t="s">
        <v>249</v>
      </c>
      <c r="G47" s="372">
        <v>60</v>
      </c>
      <c r="H47" s="373">
        <v>1867500</v>
      </c>
      <c r="I47" s="372">
        <f>12+11+12+12</f>
        <v>47</v>
      </c>
      <c r="J47" s="373">
        <f>375843+359400+390000+375920</f>
        <v>1501163</v>
      </c>
      <c r="K47" s="19">
        <v>12</v>
      </c>
      <c r="L47" s="23">
        <v>374999.8</v>
      </c>
      <c r="M47" s="19">
        <v>24</v>
      </c>
      <c r="N47" s="23">
        <v>374999.8</v>
      </c>
      <c r="O47" s="377">
        <v>3</v>
      </c>
      <c r="P47" s="23">
        <v>64815.5</v>
      </c>
      <c r="Q47" s="19"/>
      <c r="R47" s="9"/>
      <c r="S47" s="19"/>
      <c r="T47" s="9"/>
      <c r="U47" s="19"/>
      <c r="V47" s="9"/>
      <c r="W47" s="19">
        <f t="shared" si="2"/>
        <v>3</v>
      </c>
      <c r="X47" s="68">
        <f t="shared" si="3"/>
        <v>64815.5</v>
      </c>
      <c r="Y47" s="410">
        <f t="shared" si="4"/>
        <v>12.5</v>
      </c>
      <c r="Z47" s="29">
        <f t="shared" si="5"/>
        <v>17.284142551542693</v>
      </c>
      <c r="AA47" s="453">
        <f t="shared" si="0"/>
        <v>50</v>
      </c>
      <c r="AB47" s="9">
        <f t="shared" si="6"/>
        <v>1565978.5</v>
      </c>
      <c r="AC47" s="432">
        <f t="shared" si="7"/>
        <v>83.333333333333343</v>
      </c>
      <c r="AD47" s="29">
        <f t="shared" si="8"/>
        <v>83.854270414993309</v>
      </c>
      <c r="AE47" s="7"/>
    </row>
    <row r="48" spans="1:32" ht="73.5" customHeight="1" x14ac:dyDescent="0.25">
      <c r="A48" s="7"/>
      <c r="B48" s="385" t="s">
        <v>213</v>
      </c>
      <c r="C48" s="381" t="s">
        <v>157</v>
      </c>
      <c r="D48" s="13"/>
      <c r="E48" s="18"/>
      <c r="F48" s="7"/>
      <c r="G48" s="372"/>
      <c r="H48" s="373"/>
      <c r="I48" s="372"/>
      <c r="J48" s="373"/>
      <c r="K48" s="19"/>
      <c r="L48" s="29"/>
      <c r="M48" s="19"/>
      <c r="N48" s="29"/>
      <c r="O48" s="19"/>
      <c r="P48" s="9"/>
      <c r="Q48" s="19"/>
      <c r="R48" s="9"/>
      <c r="S48" s="19"/>
      <c r="T48" s="9"/>
      <c r="U48" s="19"/>
      <c r="V48" s="9"/>
      <c r="W48" s="19"/>
      <c r="X48" s="68"/>
      <c r="Y48" s="410"/>
      <c r="Z48" s="29"/>
      <c r="AA48" s="453"/>
      <c r="AB48" s="9"/>
      <c r="AC48" s="28"/>
      <c r="AD48" s="29"/>
      <c r="AE48" s="7"/>
    </row>
    <row r="49" spans="1:32" ht="51" x14ac:dyDescent="0.25">
      <c r="A49" s="7">
        <v>21</v>
      </c>
      <c r="B49" s="384" t="s">
        <v>214</v>
      </c>
      <c r="C49" s="381" t="s">
        <v>247</v>
      </c>
      <c r="D49" s="13" t="s">
        <v>63</v>
      </c>
      <c r="E49" s="18" t="s">
        <v>114</v>
      </c>
      <c r="F49" s="7" t="s">
        <v>112</v>
      </c>
      <c r="G49" s="372">
        <v>1561</v>
      </c>
      <c r="H49" s="373">
        <v>935000</v>
      </c>
      <c r="I49" s="372">
        <f>12+3+247+1250</f>
        <v>1512</v>
      </c>
      <c r="J49" s="424">
        <f>614674+95806+119696+467421.58</f>
        <v>1297597.58</v>
      </c>
      <c r="K49" s="19">
        <v>300</v>
      </c>
      <c r="L49" s="9">
        <v>230000</v>
      </c>
      <c r="M49" s="56">
        <v>300</v>
      </c>
      <c r="N49" s="23">
        <v>396319.8</v>
      </c>
      <c r="O49" s="28">
        <v>0</v>
      </c>
      <c r="P49" s="23">
        <v>2875.2</v>
      </c>
      <c r="Q49" s="19"/>
      <c r="R49" s="9"/>
      <c r="S49" s="19"/>
      <c r="T49" s="9"/>
      <c r="U49" s="19"/>
      <c r="V49" s="9"/>
      <c r="W49" s="19">
        <f t="shared" si="2"/>
        <v>0</v>
      </c>
      <c r="X49" s="68">
        <f t="shared" si="3"/>
        <v>2875.2</v>
      </c>
      <c r="Y49" s="410">
        <f t="shared" si="4"/>
        <v>0</v>
      </c>
      <c r="Z49" s="29">
        <f t="shared" si="5"/>
        <v>0.72547473025571774</v>
      </c>
      <c r="AA49" s="453">
        <f t="shared" si="0"/>
        <v>1512</v>
      </c>
      <c r="AB49" s="9">
        <f t="shared" si="6"/>
        <v>1300472.78</v>
      </c>
      <c r="AC49" s="432">
        <f t="shared" si="7"/>
        <v>96.860986547085204</v>
      </c>
      <c r="AD49" s="29">
        <f t="shared" si="8"/>
        <v>139.08799786096259</v>
      </c>
      <c r="AE49" s="7"/>
    </row>
    <row r="50" spans="1:32" ht="24.75" customHeight="1" x14ac:dyDescent="0.25">
      <c r="A50" s="7"/>
      <c r="B50" s="384" t="s">
        <v>215</v>
      </c>
      <c r="C50" s="381" t="s">
        <v>258</v>
      </c>
      <c r="D50" s="44"/>
      <c r="E50" s="18" t="s">
        <v>115</v>
      </c>
      <c r="F50" s="7" t="s">
        <v>112</v>
      </c>
      <c r="G50" s="372">
        <v>332</v>
      </c>
      <c r="H50" s="373">
        <v>895000</v>
      </c>
      <c r="I50" s="372">
        <f>0+10+200+0</f>
        <v>210</v>
      </c>
      <c r="J50" s="373">
        <f>69896+70584+0</f>
        <v>140480</v>
      </c>
      <c r="K50" s="19">
        <v>1011</v>
      </c>
      <c r="L50" s="9">
        <v>150000</v>
      </c>
      <c r="M50" s="56">
        <v>520</v>
      </c>
      <c r="N50" s="29"/>
      <c r="O50" s="28"/>
      <c r="P50" s="9"/>
      <c r="Q50" s="19"/>
      <c r="R50" s="9"/>
      <c r="S50" s="19"/>
      <c r="T50" s="9"/>
      <c r="U50" s="19"/>
      <c r="V50" s="9"/>
      <c r="W50" s="418">
        <f t="shared" si="2"/>
        <v>0</v>
      </c>
      <c r="X50" s="431">
        <f t="shared" si="3"/>
        <v>0</v>
      </c>
      <c r="Y50" s="419">
        <f t="shared" si="4"/>
        <v>0</v>
      </c>
      <c r="Z50" s="420" t="e">
        <f t="shared" si="5"/>
        <v>#DIV/0!</v>
      </c>
      <c r="AA50" s="455">
        <f t="shared" si="0"/>
        <v>210</v>
      </c>
      <c r="AB50" s="142">
        <f t="shared" si="6"/>
        <v>140480</v>
      </c>
      <c r="AC50" s="141">
        <f t="shared" si="7"/>
        <v>63.253012048192772</v>
      </c>
      <c r="AD50" s="420">
        <f t="shared" si="8"/>
        <v>15.69608938547486</v>
      </c>
      <c r="AE50" s="7"/>
      <c r="AF50" s="53" t="s">
        <v>417</v>
      </c>
    </row>
    <row r="51" spans="1:32" ht="74.25" customHeight="1" x14ac:dyDescent="0.25">
      <c r="A51" s="7"/>
      <c r="B51" s="384" t="s">
        <v>216</v>
      </c>
      <c r="C51" s="381" t="s">
        <v>162</v>
      </c>
      <c r="D51" s="14"/>
      <c r="E51" s="18" t="s">
        <v>116</v>
      </c>
      <c r="F51" s="7" t="s">
        <v>112</v>
      </c>
      <c r="G51" s="372">
        <v>130</v>
      </c>
      <c r="H51" s="373">
        <v>295000</v>
      </c>
      <c r="I51" s="372">
        <f>20+35+30+20</f>
        <v>105</v>
      </c>
      <c r="J51" s="423">
        <f>24510+42530+16750+7478.5</f>
        <v>91268.5</v>
      </c>
      <c r="K51" s="19">
        <v>20</v>
      </c>
      <c r="L51" s="9">
        <v>16320</v>
      </c>
      <c r="M51" s="56">
        <v>50</v>
      </c>
      <c r="N51" s="29"/>
      <c r="O51" s="28"/>
      <c r="P51" s="9"/>
      <c r="Q51" s="19"/>
      <c r="R51" s="9"/>
      <c r="S51" s="19"/>
      <c r="T51" s="9"/>
      <c r="U51" s="19"/>
      <c r="V51" s="9"/>
      <c r="W51" s="418">
        <f t="shared" si="2"/>
        <v>0</v>
      </c>
      <c r="X51" s="431">
        <f t="shared" si="3"/>
        <v>0</v>
      </c>
      <c r="Y51" s="419">
        <f t="shared" si="4"/>
        <v>0</v>
      </c>
      <c r="Z51" s="420" t="e">
        <f t="shared" si="5"/>
        <v>#DIV/0!</v>
      </c>
      <c r="AA51" s="455">
        <f t="shared" si="0"/>
        <v>105</v>
      </c>
      <c r="AB51" s="142">
        <f t="shared" si="6"/>
        <v>91268.5</v>
      </c>
      <c r="AC51" s="141">
        <f t="shared" si="7"/>
        <v>80.769230769230774</v>
      </c>
      <c r="AD51" s="420">
        <f t="shared" si="8"/>
        <v>30.938474576271187</v>
      </c>
      <c r="AE51" s="7"/>
    </row>
    <row r="52" spans="1:32" ht="33.75" customHeight="1" x14ac:dyDescent="0.25">
      <c r="A52" s="7"/>
      <c r="B52" s="385" t="s">
        <v>217</v>
      </c>
      <c r="C52" s="381" t="s">
        <v>161</v>
      </c>
      <c r="D52" s="44"/>
      <c r="E52" s="18"/>
      <c r="F52" s="7"/>
      <c r="G52" s="372"/>
      <c r="H52" s="373"/>
      <c r="I52" s="372"/>
      <c r="J52" s="373"/>
      <c r="K52" s="19"/>
      <c r="L52" s="29"/>
      <c r="M52" s="19"/>
      <c r="N52" s="58"/>
      <c r="O52" s="19"/>
      <c r="P52" s="9"/>
      <c r="Q52" s="19"/>
      <c r="R52" s="9"/>
      <c r="S52" s="19"/>
      <c r="T52" s="9"/>
      <c r="U52" s="19"/>
      <c r="V52" s="9"/>
      <c r="W52" s="19"/>
      <c r="X52" s="68"/>
      <c r="Y52" s="410"/>
      <c r="Z52" s="29"/>
      <c r="AA52" s="453"/>
      <c r="AB52" s="9"/>
      <c r="AC52" s="28"/>
      <c r="AD52" s="29"/>
      <c r="AE52" s="7"/>
    </row>
    <row r="53" spans="1:32" ht="63" customHeight="1" x14ac:dyDescent="0.25">
      <c r="A53" s="7">
        <v>22</v>
      </c>
      <c r="B53" s="384" t="s">
        <v>218</v>
      </c>
      <c r="C53" s="381" t="s">
        <v>26</v>
      </c>
      <c r="D53" s="6" t="s">
        <v>33</v>
      </c>
      <c r="E53" s="18" t="s">
        <v>118</v>
      </c>
      <c r="F53" s="7" t="s">
        <v>119</v>
      </c>
      <c r="G53" s="372">
        <v>44</v>
      </c>
      <c r="H53" s="373">
        <v>550000</v>
      </c>
      <c r="I53" s="372">
        <f>0+8+5+13</f>
        <v>26</v>
      </c>
      <c r="J53" s="423">
        <f>48917+49500+74964.7</f>
        <v>173381.7</v>
      </c>
      <c r="K53" s="19">
        <v>10</v>
      </c>
      <c r="L53" s="23">
        <v>109992.5</v>
      </c>
      <c r="M53" s="56">
        <v>10</v>
      </c>
      <c r="N53" s="29">
        <v>525311.75</v>
      </c>
      <c r="O53" s="28">
        <v>0</v>
      </c>
      <c r="P53" s="23">
        <v>7777.4</v>
      </c>
      <c r="Q53" s="19"/>
      <c r="R53" s="9"/>
      <c r="S53" s="19"/>
      <c r="T53" s="9"/>
      <c r="U53" s="19"/>
      <c r="V53" s="9"/>
      <c r="W53" s="19">
        <f t="shared" si="2"/>
        <v>0</v>
      </c>
      <c r="X53" s="68">
        <f t="shared" si="3"/>
        <v>7777.4</v>
      </c>
      <c r="Y53" s="410">
        <f t="shared" si="4"/>
        <v>0</v>
      </c>
      <c r="Z53" s="29">
        <f t="shared" si="5"/>
        <v>1.4805303707750683</v>
      </c>
      <c r="AA53" s="453">
        <f t="shared" si="0"/>
        <v>26</v>
      </c>
      <c r="AB53" s="9">
        <f t="shared" si="6"/>
        <v>181159.1</v>
      </c>
      <c r="AC53" s="432">
        <f t="shared" si="7"/>
        <v>59.090909090909093</v>
      </c>
      <c r="AD53" s="29">
        <f t="shared" si="8"/>
        <v>32.938018181818187</v>
      </c>
      <c r="AE53" s="7"/>
      <c r="AF53" s="53" t="s">
        <v>417</v>
      </c>
    </row>
    <row r="54" spans="1:32" ht="47.25" customHeight="1" x14ac:dyDescent="0.25">
      <c r="A54" s="7"/>
      <c r="B54" s="385" t="s">
        <v>210</v>
      </c>
      <c r="C54" s="381" t="s">
        <v>167</v>
      </c>
      <c r="D54" s="6"/>
      <c r="E54" s="18"/>
      <c r="F54" s="7"/>
      <c r="G54" s="372"/>
      <c r="H54" s="373"/>
      <c r="I54" s="372"/>
      <c r="J54" s="373"/>
      <c r="K54" s="19"/>
      <c r="L54" s="29"/>
      <c r="M54" s="56"/>
      <c r="N54" s="29"/>
      <c r="O54" s="28"/>
      <c r="P54" s="9"/>
      <c r="Q54" s="19"/>
      <c r="R54" s="9"/>
      <c r="S54" s="19"/>
      <c r="T54" s="9"/>
      <c r="U54" s="19"/>
      <c r="V54" s="9"/>
      <c r="W54" s="418"/>
      <c r="X54" s="431"/>
      <c r="Y54" s="419"/>
      <c r="Z54" s="420"/>
      <c r="AA54" s="453"/>
      <c r="AB54" s="142">
        <f t="shared" si="6"/>
        <v>0</v>
      </c>
      <c r="AC54" s="141"/>
      <c r="AD54" s="142"/>
      <c r="AE54" s="7"/>
    </row>
    <row r="55" spans="1:32" ht="50.25" customHeight="1" x14ac:dyDescent="0.25">
      <c r="A55" s="7"/>
      <c r="B55" s="384" t="s">
        <v>228</v>
      </c>
      <c r="C55" s="381" t="s">
        <v>27</v>
      </c>
      <c r="D55" s="17"/>
      <c r="E55" s="18" t="s">
        <v>117</v>
      </c>
      <c r="F55" s="7" t="s">
        <v>112</v>
      </c>
      <c r="G55" s="372">
        <v>1000</v>
      </c>
      <c r="H55" s="373">
        <v>605000</v>
      </c>
      <c r="I55" s="372">
        <f>1+1+1+207</f>
        <v>210</v>
      </c>
      <c r="J55" s="373">
        <f>88214+118350+128000+44100</f>
        <v>378664</v>
      </c>
      <c r="K55" s="19">
        <v>300</v>
      </c>
      <c r="L55" s="29">
        <v>149319.75</v>
      </c>
      <c r="M55" s="56">
        <v>300</v>
      </c>
      <c r="N55" s="29"/>
      <c r="O55" s="28"/>
      <c r="P55" s="9"/>
      <c r="Q55" s="19"/>
      <c r="R55" s="9"/>
      <c r="S55" s="19"/>
      <c r="T55" s="9"/>
      <c r="U55" s="19"/>
      <c r="V55" s="9"/>
      <c r="W55" s="418">
        <f t="shared" si="2"/>
        <v>0</v>
      </c>
      <c r="X55" s="431">
        <f t="shared" si="3"/>
        <v>0</v>
      </c>
      <c r="Y55" s="419">
        <f t="shared" si="4"/>
        <v>0</v>
      </c>
      <c r="Z55" s="420" t="e">
        <f t="shared" si="5"/>
        <v>#DIV/0!</v>
      </c>
      <c r="AA55" s="455">
        <f t="shared" si="0"/>
        <v>210</v>
      </c>
      <c r="AB55" s="142">
        <f t="shared" si="6"/>
        <v>378664</v>
      </c>
      <c r="AC55" s="141">
        <f t="shared" si="7"/>
        <v>21</v>
      </c>
      <c r="AD55" s="142">
        <f t="shared" si="8"/>
        <v>62.589090909090906</v>
      </c>
      <c r="AE55" s="7"/>
    </row>
    <row r="56" spans="1:32" ht="73.5" customHeight="1" x14ac:dyDescent="0.25">
      <c r="A56" s="7"/>
      <c r="B56" s="384" t="s">
        <v>229</v>
      </c>
      <c r="C56" s="381" t="s">
        <v>170</v>
      </c>
      <c r="D56" s="6"/>
      <c r="E56" s="18" t="s">
        <v>120</v>
      </c>
      <c r="F56" s="7" t="s">
        <v>112</v>
      </c>
      <c r="G56" s="372">
        <v>410</v>
      </c>
      <c r="H56" s="373">
        <f>100000+420000</f>
        <v>520000</v>
      </c>
      <c r="I56" s="372">
        <f>10+80+60+50</f>
        <v>200</v>
      </c>
      <c r="J56" s="424">
        <f>97108+121991+101949+65264.45</f>
        <v>386312.45</v>
      </c>
      <c r="K56" s="19">
        <v>100</v>
      </c>
      <c r="L56" s="9">
        <v>110000</v>
      </c>
      <c r="M56" s="56">
        <v>50</v>
      </c>
      <c r="N56" s="29"/>
      <c r="O56" s="28"/>
      <c r="P56" s="9"/>
      <c r="Q56" s="19"/>
      <c r="R56" s="9"/>
      <c r="S56" s="19"/>
      <c r="T56" s="9"/>
      <c r="U56" s="19"/>
      <c r="V56" s="9"/>
      <c r="W56" s="418">
        <f t="shared" si="2"/>
        <v>0</v>
      </c>
      <c r="X56" s="431">
        <f t="shared" si="3"/>
        <v>0</v>
      </c>
      <c r="Y56" s="419">
        <f t="shared" si="4"/>
        <v>0</v>
      </c>
      <c r="Z56" s="420" t="e">
        <f t="shared" si="5"/>
        <v>#DIV/0!</v>
      </c>
      <c r="AA56" s="455">
        <f t="shared" si="0"/>
        <v>200</v>
      </c>
      <c r="AB56" s="142">
        <f t="shared" si="6"/>
        <v>386312.45</v>
      </c>
      <c r="AC56" s="141">
        <f t="shared" si="7"/>
        <v>48.780487804878049</v>
      </c>
      <c r="AD56" s="142">
        <f t="shared" si="8"/>
        <v>74.290855769230774</v>
      </c>
      <c r="AE56" s="7"/>
    </row>
    <row r="57" spans="1:32" ht="46.5" customHeight="1" x14ac:dyDescent="0.25">
      <c r="A57" s="7"/>
      <c r="B57" s="384" t="s">
        <v>230</v>
      </c>
      <c r="C57" s="381" t="s">
        <v>28</v>
      </c>
      <c r="D57" s="6"/>
      <c r="E57" s="18" t="s">
        <v>121</v>
      </c>
      <c r="F57" s="15" t="s">
        <v>196</v>
      </c>
      <c r="G57" s="372">
        <v>120</v>
      </c>
      <c r="H57" s="373">
        <v>340000</v>
      </c>
      <c r="I57" s="372">
        <f>20+48+24+0</f>
        <v>92</v>
      </c>
      <c r="J57" s="373">
        <f>39255+69540+70000+0</f>
        <v>178795</v>
      </c>
      <c r="K57" s="19">
        <v>24</v>
      </c>
      <c r="L57" s="23">
        <v>55999.7</v>
      </c>
      <c r="M57" s="56">
        <v>24</v>
      </c>
      <c r="N57" s="29"/>
      <c r="O57" s="28"/>
      <c r="P57" s="9"/>
      <c r="Q57" s="19"/>
      <c r="R57" s="9"/>
      <c r="S57" s="19"/>
      <c r="T57" s="9"/>
      <c r="U57" s="19"/>
      <c r="V57" s="9"/>
      <c r="W57" s="418">
        <f t="shared" si="2"/>
        <v>0</v>
      </c>
      <c r="X57" s="431">
        <f t="shared" si="3"/>
        <v>0</v>
      </c>
      <c r="Y57" s="419">
        <f t="shared" si="4"/>
        <v>0</v>
      </c>
      <c r="Z57" s="420" t="e">
        <f t="shared" si="5"/>
        <v>#DIV/0!</v>
      </c>
      <c r="AA57" s="455">
        <f t="shared" si="0"/>
        <v>92</v>
      </c>
      <c r="AB57" s="142">
        <f t="shared" si="6"/>
        <v>178795</v>
      </c>
      <c r="AC57" s="141">
        <f t="shared" si="7"/>
        <v>76.666666666666671</v>
      </c>
      <c r="AD57" s="142">
        <f t="shared" si="8"/>
        <v>52.586764705882352</v>
      </c>
      <c r="AE57" s="7"/>
    </row>
    <row r="58" spans="1:32" ht="35.25" customHeight="1" x14ac:dyDescent="0.25">
      <c r="A58" s="7"/>
      <c r="B58" s="384"/>
      <c r="C58" s="382"/>
      <c r="D58" s="6"/>
      <c r="E58" s="18" t="s">
        <v>122</v>
      </c>
      <c r="F58" s="15" t="s">
        <v>196</v>
      </c>
      <c r="G58" s="372"/>
      <c r="H58" s="373"/>
      <c r="I58" s="372"/>
      <c r="J58" s="373"/>
      <c r="K58" s="19">
        <v>24</v>
      </c>
      <c r="L58" s="29"/>
      <c r="M58" s="56">
        <v>24</v>
      </c>
      <c r="N58" s="29"/>
      <c r="O58" s="28"/>
      <c r="P58" s="9"/>
      <c r="Q58" s="19"/>
      <c r="R58" s="9"/>
      <c r="S58" s="19"/>
      <c r="T58" s="9"/>
      <c r="U58" s="19"/>
      <c r="V58" s="9"/>
      <c r="W58" s="418">
        <f t="shared" si="2"/>
        <v>0</v>
      </c>
      <c r="X58" s="431">
        <f t="shared" si="3"/>
        <v>0</v>
      </c>
      <c r="Y58" s="419">
        <f t="shared" si="4"/>
        <v>0</v>
      </c>
      <c r="Z58" s="420" t="e">
        <f t="shared" si="5"/>
        <v>#DIV/0!</v>
      </c>
      <c r="AA58" s="455">
        <f t="shared" si="0"/>
        <v>0</v>
      </c>
      <c r="AB58" s="142">
        <f t="shared" si="6"/>
        <v>0</v>
      </c>
      <c r="AC58" s="141" t="e">
        <f t="shared" si="7"/>
        <v>#DIV/0!</v>
      </c>
      <c r="AD58" s="142" t="e">
        <f t="shared" si="8"/>
        <v>#DIV/0!</v>
      </c>
      <c r="AE58" s="7"/>
    </row>
    <row r="59" spans="1:32" ht="87" customHeight="1" x14ac:dyDescent="0.25">
      <c r="A59" s="7"/>
      <c r="B59" s="384"/>
      <c r="C59" s="382"/>
      <c r="D59" s="6"/>
      <c r="E59" s="18" t="s">
        <v>123</v>
      </c>
      <c r="F59" s="15" t="s">
        <v>248</v>
      </c>
      <c r="G59" s="372"/>
      <c r="H59" s="373"/>
      <c r="I59" s="372"/>
      <c r="J59" s="373"/>
      <c r="K59" s="19">
        <v>1</v>
      </c>
      <c r="L59" s="23"/>
      <c r="M59" s="56">
        <v>25</v>
      </c>
      <c r="N59" s="29"/>
      <c r="O59" s="28"/>
      <c r="P59" s="9"/>
      <c r="Q59" s="19"/>
      <c r="R59" s="9"/>
      <c r="S59" s="19"/>
      <c r="T59" s="9"/>
      <c r="U59" s="19"/>
      <c r="V59" s="9"/>
      <c r="W59" s="418">
        <f t="shared" si="2"/>
        <v>0</v>
      </c>
      <c r="X59" s="431">
        <f t="shared" si="3"/>
        <v>0</v>
      </c>
      <c r="Y59" s="419">
        <f t="shared" si="4"/>
        <v>0</v>
      </c>
      <c r="Z59" s="420" t="e">
        <f t="shared" si="5"/>
        <v>#DIV/0!</v>
      </c>
      <c r="AA59" s="455">
        <f t="shared" si="0"/>
        <v>0</v>
      </c>
      <c r="AB59" s="142">
        <f t="shared" si="6"/>
        <v>0</v>
      </c>
      <c r="AC59" s="141" t="e">
        <f t="shared" si="7"/>
        <v>#DIV/0!</v>
      </c>
      <c r="AD59" s="142" t="e">
        <f t="shared" si="8"/>
        <v>#DIV/0!</v>
      </c>
      <c r="AE59" s="7"/>
    </row>
    <row r="60" spans="1:32" ht="35.25" customHeight="1" x14ac:dyDescent="0.25">
      <c r="A60" s="7"/>
      <c r="B60" s="384"/>
      <c r="C60" s="382"/>
      <c r="D60" s="6"/>
      <c r="E60" s="18" t="s">
        <v>124</v>
      </c>
      <c r="F60" s="7" t="s">
        <v>125</v>
      </c>
      <c r="G60" s="372"/>
      <c r="H60" s="373"/>
      <c r="I60" s="372"/>
      <c r="J60" s="373"/>
      <c r="K60" s="19"/>
      <c r="L60" s="29"/>
      <c r="M60" s="56">
        <v>1</v>
      </c>
      <c r="N60" s="29"/>
      <c r="O60" s="28"/>
      <c r="P60" s="9"/>
      <c r="Q60" s="19"/>
      <c r="R60" s="9"/>
      <c r="S60" s="19"/>
      <c r="T60" s="9"/>
      <c r="U60" s="19"/>
      <c r="V60" s="9"/>
      <c r="W60" s="418">
        <f t="shared" si="2"/>
        <v>0</v>
      </c>
      <c r="X60" s="431">
        <f t="shared" si="3"/>
        <v>0</v>
      </c>
      <c r="Y60" s="419">
        <f t="shared" si="4"/>
        <v>0</v>
      </c>
      <c r="Z60" s="420" t="e">
        <f t="shared" si="5"/>
        <v>#DIV/0!</v>
      </c>
      <c r="AA60" s="455">
        <f t="shared" si="0"/>
        <v>0</v>
      </c>
      <c r="AB60" s="142">
        <f t="shared" si="6"/>
        <v>0</v>
      </c>
      <c r="AC60" s="141" t="e">
        <f t="shared" si="7"/>
        <v>#DIV/0!</v>
      </c>
      <c r="AD60" s="142" t="e">
        <f t="shared" si="8"/>
        <v>#DIV/0!</v>
      </c>
      <c r="AE60" s="7"/>
    </row>
    <row r="61" spans="1:32" ht="62.25" customHeight="1" x14ac:dyDescent="0.25">
      <c r="A61" s="7">
        <v>23</v>
      </c>
      <c r="B61" s="384" t="s">
        <v>231</v>
      </c>
      <c r="C61" s="380" t="s">
        <v>169</v>
      </c>
      <c r="D61" s="6" t="s">
        <v>64</v>
      </c>
      <c r="E61" s="4" t="s">
        <v>126</v>
      </c>
      <c r="F61" s="7" t="s">
        <v>127</v>
      </c>
      <c r="G61" s="372">
        <v>300</v>
      </c>
      <c r="H61" s="373">
        <v>335000</v>
      </c>
      <c r="I61" s="372">
        <f>6+4+3+6</f>
        <v>19</v>
      </c>
      <c r="J61" s="373">
        <f>73117+74340+74833+8210</f>
        <v>230500</v>
      </c>
      <c r="K61" s="19">
        <v>60</v>
      </c>
      <c r="L61" s="9">
        <v>50000</v>
      </c>
      <c r="M61" s="19">
        <v>60</v>
      </c>
      <c r="N61" s="23">
        <v>49999.8</v>
      </c>
      <c r="O61" s="19">
        <v>0</v>
      </c>
      <c r="P61" s="23">
        <v>739.8</v>
      </c>
      <c r="Q61" s="19"/>
      <c r="R61" s="9"/>
      <c r="S61" s="19"/>
      <c r="T61" s="9"/>
      <c r="U61" s="19"/>
      <c r="V61" s="9"/>
      <c r="W61" s="19">
        <f t="shared" si="2"/>
        <v>0</v>
      </c>
      <c r="X61" s="68">
        <f t="shared" si="3"/>
        <v>739.8</v>
      </c>
      <c r="Y61" s="410">
        <f t="shared" si="4"/>
        <v>0</v>
      </c>
      <c r="Z61" s="29">
        <f t="shared" si="5"/>
        <v>1.4796059184236736</v>
      </c>
      <c r="AA61" s="453">
        <f t="shared" si="0"/>
        <v>19</v>
      </c>
      <c r="AB61" s="9">
        <f t="shared" si="6"/>
        <v>231239.8</v>
      </c>
      <c r="AC61" s="432">
        <f t="shared" si="7"/>
        <v>6.3333333333333339</v>
      </c>
      <c r="AD61" s="29">
        <f t="shared" si="8"/>
        <v>69.026805970149255</v>
      </c>
      <c r="AE61" s="7"/>
    </row>
    <row r="62" spans="1:32" s="376" customFormat="1" ht="36" customHeight="1" x14ac:dyDescent="0.25">
      <c r="A62" s="39"/>
      <c r="B62" s="64"/>
      <c r="C62" s="64"/>
      <c r="D62" s="22" t="s">
        <v>65</v>
      </c>
      <c r="E62" s="21"/>
      <c r="F62" s="39" t="s">
        <v>93</v>
      </c>
      <c r="G62" s="412">
        <v>45.38</v>
      </c>
      <c r="H62" s="378">
        <f>SUM(H63)</f>
        <v>8168000</v>
      </c>
      <c r="I62" s="412">
        <f>I63</f>
        <v>67.489999999999995</v>
      </c>
      <c r="J62" s="413">
        <f>SUM(J63)</f>
        <v>4948932.5890000006</v>
      </c>
      <c r="K62" s="40">
        <v>44.43</v>
      </c>
      <c r="L62" s="42">
        <f>SUM(L63)</f>
        <v>1570655.9</v>
      </c>
      <c r="M62" s="40">
        <v>44.43</v>
      </c>
      <c r="N62" s="43">
        <f>SUM(N63)</f>
        <v>1561046.9</v>
      </c>
      <c r="O62" s="40"/>
      <c r="P62" s="43">
        <f>SUM(P63)</f>
        <v>20233.5</v>
      </c>
      <c r="Q62" s="40"/>
      <c r="R62" s="41"/>
      <c r="S62" s="40"/>
      <c r="T62" s="41"/>
      <c r="U62" s="40"/>
      <c r="V62" s="41"/>
      <c r="W62" s="40">
        <f t="shared" si="2"/>
        <v>0</v>
      </c>
      <c r="X62" s="73">
        <f t="shared" si="3"/>
        <v>20233.5</v>
      </c>
      <c r="Y62" s="407">
        <f t="shared" si="4"/>
        <v>0</v>
      </c>
      <c r="Z62" s="42">
        <f t="shared" si="5"/>
        <v>1.2961493982019374</v>
      </c>
      <c r="AA62" s="407">
        <f t="shared" si="0"/>
        <v>67.489999999999995</v>
      </c>
      <c r="AB62" s="41">
        <f t="shared" si="6"/>
        <v>4969166.0890000006</v>
      </c>
      <c r="AC62" s="435">
        <f t="shared" si="7"/>
        <v>148.72190392243277</v>
      </c>
      <c r="AD62" s="42">
        <f t="shared" si="8"/>
        <v>60.836999130754165</v>
      </c>
      <c r="AE62" s="39"/>
    </row>
    <row r="63" spans="1:32" s="376" customFormat="1" ht="57" customHeight="1" x14ac:dyDescent="0.25">
      <c r="A63" s="39"/>
      <c r="B63" s="64"/>
      <c r="C63" s="64"/>
      <c r="D63" s="398"/>
      <c r="E63" s="395" t="s">
        <v>128</v>
      </c>
      <c r="F63" s="388" t="s">
        <v>93</v>
      </c>
      <c r="G63" s="415">
        <v>45.38</v>
      </c>
      <c r="H63" s="414">
        <f>SUM(H64:H89)</f>
        <v>8168000</v>
      </c>
      <c r="I63" s="415">
        <v>67.489999999999995</v>
      </c>
      <c r="J63" s="416">
        <f>SUM(J64:J89)</f>
        <v>4948932.5890000006</v>
      </c>
      <c r="K63" s="390">
        <v>44.43</v>
      </c>
      <c r="L63" s="393">
        <f>SUM(L65:L89)</f>
        <v>1570655.9</v>
      </c>
      <c r="M63" s="390">
        <v>44.43</v>
      </c>
      <c r="N63" s="400">
        <f>SUM(N64:N89)</f>
        <v>1561046.9</v>
      </c>
      <c r="O63" s="390"/>
      <c r="P63" s="392">
        <v>20233.5</v>
      </c>
      <c r="Q63" s="40"/>
      <c r="R63" s="41"/>
      <c r="S63" s="40"/>
      <c r="T63" s="41"/>
      <c r="U63" s="40"/>
      <c r="V63" s="41"/>
      <c r="W63" s="390">
        <f>O63+Q63+S63+U63</f>
        <v>0</v>
      </c>
      <c r="X63" s="394">
        <f>P63+R63+T63+V63</f>
        <v>20233.5</v>
      </c>
      <c r="Y63" s="409">
        <f>W63/M63*100</f>
        <v>0</v>
      </c>
      <c r="Z63" s="393">
        <f>X63/N63*100</f>
        <v>1.2961493982019374</v>
      </c>
      <c r="AA63" s="407">
        <f t="shared" si="0"/>
        <v>67.489999999999995</v>
      </c>
      <c r="AB63" s="391">
        <f t="shared" si="6"/>
        <v>4969166.0890000006</v>
      </c>
      <c r="AC63" s="449">
        <f>AA63/G63*100</f>
        <v>148.72190392243277</v>
      </c>
      <c r="AD63" s="393">
        <f>AB63/H63*100</f>
        <v>60.836999130754165</v>
      </c>
      <c r="AE63" s="39"/>
    </row>
    <row r="64" spans="1:32" s="376" customFormat="1" ht="87" customHeight="1" x14ac:dyDescent="0.25">
      <c r="A64" s="33"/>
      <c r="B64" s="385" t="s">
        <v>232</v>
      </c>
      <c r="C64" s="380" t="s">
        <v>158</v>
      </c>
      <c r="D64" s="38" t="s">
        <v>66</v>
      </c>
      <c r="E64" s="1"/>
      <c r="F64" s="33"/>
      <c r="G64" s="374"/>
      <c r="H64" s="421"/>
      <c r="I64" s="374"/>
      <c r="J64" s="421"/>
      <c r="K64" s="34"/>
      <c r="L64" s="36"/>
      <c r="M64" s="34"/>
      <c r="N64" s="50"/>
      <c r="O64" s="34"/>
      <c r="P64" s="35"/>
      <c r="Q64" s="34"/>
      <c r="R64" s="35"/>
      <c r="S64" s="34"/>
      <c r="T64" s="35"/>
      <c r="U64" s="34"/>
      <c r="V64" s="35"/>
      <c r="W64" s="34"/>
      <c r="X64" s="68"/>
      <c r="Y64" s="410"/>
      <c r="Z64" s="29"/>
      <c r="AA64" s="453"/>
      <c r="AB64" s="9"/>
      <c r="AC64" s="28"/>
      <c r="AD64" s="36"/>
      <c r="AE64" s="33"/>
    </row>
    <row r="65" spans="1:32" ht="59.25" customHeight="1" x14ac:dyDescent="0.25">
      <c r="A65" s="7">
        <v>24</v>
      </c>
      <c r="B65" s="384" t="s">
        <v>233</v>
      </c>
      <c r="C65" s="381" t="s">
        <v>163</v>
      </c>
      <c r="D65" s="6" t="s">
        <v>67</v>
      </c>
      <c r="E65" s="18" t="s">
        <v>129</v>
      </c>
      <c r="F65" s="7" t="s">
        <v>112</v>
      </c>
      <c r="G65" s="372">
        <v>205</v>
      </c>
      <c r="H65" s="373">
        <v>1500000</v>
      </c>
      <c r="I65" s="372">
        <f>50+106+116+124</f>
        <v>396</v>
      </c>
      <c r="J65" s="422">
        <f>276975+407424+296676+163810.189</f>
        <v>1144885.189</v>
      </c>
      <c r="K65" s="19">
        <v>35</v>
      </c>
      <c r="L65" s="23">
        <v>276794.90000000002</v>
      </c>
      <c r="M65" s="56">
        <v>10</v>
      </c>
      <c r="N65" s="23">
        <v>88567.3</v>
      </c>
      <c r="O65" s="28">
        <v>0</v>
      </c>
      <c r="P65" s="9">
        <v>0</v>
      </c>
      <c r="Q65" s="19"/>
      <c r="R65" s="9"/>
      <c r="S65" s="19"/>
      <c r="T65" s="9"/>
      <c r="U65" s="19"/>
      <c r="V65" s="9"/>
      <c r="W65" s="19">
        <f t="shared" si="2"/>
        <v>0</v>
      </c>
      <c r="X65" s="68">
        <f t="shared" si="3"/>
        <v>0</v>
      </c>
      <c r="Y65" s="410">
        <f t="shared" si="4"/>
        <v>0</v>
      </c>
      <c r="Z65" s="29">
        <f t="shared" si="5"/>
        <v>0</v>
      </c>
      <c r="AA65" s="453">
        <f t="shared" si="0"/>
        <v>396</v>
      </c>
      <c r="AB65" s="9">
        <f t="shared" si="6"/>
        <v>1144885.189</v>
      </c>
      <c r="AC65" s="432">
        <f t="shared" si="7"/>
        <v>193.17073170731706</v>
      </c>
      <c r="AD65" s="410">
        <f t="shared" si="8"/>
        <v>76.325679266666668</v>
      </c>
      <c r="AE65" s="7"/>
    </row>
    <row r="66" spans="1:32" ht="44.25" customHeight="1" x14ac:dyDescent="0.25">
      <c r="A66" s="7"/>
      <c r="B66" s="385" t="s">
        <v>234</v>
      </c>
      <c r="C66" s="381" t="s">
        <v>160</v>
      </c>
      <c r="D66" s="6"/>
      <c r="E66" s="18"/>
      <c r="F66" s="7"/>
      <c r="G66" s="372"/>
      <c r="H66" s="373"/>
      <c r="I66" s="372"/>
      <c r="J66" s="373"/>
      <c r="K66" s="19"/>
      <c r="L66" s="29"/>
      <c r="M66" s="56"/>
      <c r="N66" s="29"/>
      <c r="O66" s="28"/>
      <c r="P66" s="9"/>
      <c r="Q66" s="19"/>
      <c r="R66" s="9"/>
      <c r="S66" s="19"/>
      <c r="T66" s="9"/>
      <c r="U66" s="19"/>
      <c r="V66" s="9"/>
      <c r="W66" s="418"/>
      <c r="X66" s="431"/>
      <c r="Y66" s="419"/>
      <c r="Z66" s="420"/>
      <c r="AA66" s="453"/>
      <c r="AB66" s="142"/>
      <c r="AC66" s="433" t="e">
        <f t="shared" ref="AC66:AC71" si="9">AA66/G66*100</f>
        <v>#DIV/0!</v>
      </c>
      <c r="AD66" s="419" t="e">
        <f t="shared" ref="AD66:AD71" si="10">AB66/H66*100</f>
        <v>#DIV/0!</v>
      </c>
      <c r="AE66" s="7"/>
    </row>
    <row r="67" spans="1:32" ht="69.75" customHeight="1" x14ac:dyDescent="0.25">
      <c r="A67" s="7"/>
      <c r="B67" s="384" t="s">
        <v>235</v>
      </c>
      <c r="C67" s="381" t="s">
        <v>24</v>
      </c>
      <c r="D67" s="6"/>
      <c r="E67" s="18" t="s">
        <v>132</v>
      </c>
      <c r="F67" s="7" t="s">
        <v>112</v>
      </c>
      <c r="G67" s="372">
        <v>110</v>
      </c>
      <c r="H67" s="373">
        <v>355000</v>
      </c>
      <c r="I67" s="372">
        <f>15+20+20+0</f>
        <v>55</v>
      </c>
      <c r="J67" s="373">
        <f>59929+142804+49685+0</f>
        <v>252418</v>
      </c>
      <c r="K67" s="19">
        <v>30</v>
      </c>
      <c r="L67" s="23">
        <v>74319.600000000006</v>
      </c>
      <c r="M67" s="56">
        <v>35</v>
      </c>
      <c r="N67" s="29"/>
      <c r="O67" s="28">
        <v>0</v>
      </c>
      <c r="P67" s="9">
        <v>0</v>
      </c>
      <c r="Q67" s="19"/>
      <c r="R67" s="9"/>
      <c r="S67" s="19"/>
      <c r="T67" s="9"/>
      <c r="U67" s="19"/>
      <c r="V67" s="9"/>
      <c r="W67" s="418">
        <f t="shared" si="2"/>
        <v>0</v>
      </c>
      <c r="X67" s="431">
        <f t="shared" si="3"/>
        <v>0</v>
      </c>
      <c r="Y67" s="419">
        <f t="shared" si="4"/>
        <v>0</v>
      </c>
      <c r="Z67" s="420" t="e">
        <f t="shared" si="5"/>
        <v>#DIV/0!</v>
      </c>
      <c r="AA67" s="455">
        <f t="shared" si="0"/>
        <v>55</v>
      </c>
      <c r="AB67" s="142">
        <f t="shared" si="6"/>
        <v>252418</v>
      </c>
      <c r="AC67" s="433">
        <f t="shared" si="9"/>
        <v>50</v>
      </c>
      <c r="AD67" s="419">
        <f t="shared" si="10"/>
        <v>71.103661971830988</v>
      </c>
      <c r="AE67" s="7"/>
    </row>
    <row r="68" spans="1:32" ht="46.5" customHeight="1" x14ac:dyDescent="0.25">
      <c r="A68" s="7"/>
      <c r="B68" s="384"/>
      <c r="C68" s="382"/>
      <c r="D68" s="6"/>
      <c r="E68" s="18" t="s">
        <v>130</v>
      </c>
      <c r="F68" s="15" t="s">
        <v>248</v>
      </c>
      <c r="G68" s="372"/>
      <c r="H68" s="373"/>
      <c r="I68" s="372"/>
      <c r="J68" s="373"/>
      <c r="K68" s="19">
        <v>1</v>
      </c>
      <c r="L68" s="9">
        <v>19999</v>
      </c>
      <c r="M68" s="56">
        <v>10</v>
      </c>
      <c r="N68" s="29"/>
      <c r="O68" s="28">
        <v>0</v>
      </c>
      <c r="P68" s="9">
        <v>0</v>
      </c>
      <c r="Q68" s="19"/>
      <c r="R68" s="9"/>
      <c r="S68" s="19"/>
      <c r="T68" s="9"/>
      <c r="U68" s="19"/>
      <c r="V68" s="9"/>
      <c r="W68" s="418">
        <f t="shared" si="2"/>
        <v>0</v>
      </c>
      <c r="X68" s="431">
        <f t="shared" si="3"/>
        <v>0</v>
      </c>
      <c r="Y68" s="419">
        <f t="shared" si="4"/>
        <v>0</v>
      </c>
      <c r="Z68" s="420" t="e">
        <f t="shared" si="5"/>
        <v>#DIV/0!</v>
      </c>
      <c r="AA68" s="455">
        <f t="shared" si="0"/>
        <v>0</v>
      </c>
      <c r="AB68" s="142">
        <f t="shared" si="6"/>
        <v>0</v>
      </c>
      <c r="AC68" s="433" t="e">
        <f t="shared" si="9"/>
        <v>#DIV/0!</v>
      </c>
      <c r="AD68" s="419" t="e">
        <f t="shared" si="10"/>
        <v>#DIV/0!</v>
      </c>
      <c r="AE68" s="7"/>
    </row>
    <row r="69" spans="1:32" ht="74.25" customHeight="1" x14ac:dyDescent="0.25">
      <c r="A69" s="7">
        <v>25</v>
      </c>
      <c r="B69" s="384"/>
      <c r="C69" s="380"/>
      <c r="D69" s="6" t="s">
        <v>68</v>
      </c>
      <c r="E69" s="4" t="s">
        <v>131</v>
      </c>
      <c r="F69" s="7" t="s">
        <v>101</v>
      </c>
      <c r="G69" s="372"/>
      <c r="H69" s="373"/>
      <c r="I69" s="372"/>
      <c r="J69" s="424"/>
      <c r="K69" s="19"/>
      <c r="L69" s="29"/>
      <c r="M69" s="19">
        <v>41</v>
      </c>
      <c r="N69" s="23">
        <v>91189.6</v>
      </c>
      <c r="O69" s="19">
        <v>0</v>
      </c>
      <c r="P69" s="9">
        <v>0</v>
      </c>
      <c r="Q69" s="19"/>
      <c r="R69" s="9"/>
      <c r="S69" s="19"/>
      <c r="T69" s="9"/>
      <c r="U69" s="19"/>
      <c r="V69" s="9"/>
      <c r="W69" s="19">
        <f t="shared" si="2"/>
        <v>0</v>
      </c>
      <c r="X69" s="68">
        <f t="shared" si="3"/>
        <v>0</v>
      </c>
      <c r="Y69" s="410">
        <f t="shared" si="4"/>
        <v>0</v>
      </c>
      <c r="Z69" s="29">
        <f t="shared" si="5"/>
        <v>0</v>
      </c>
      <c r="AA69" s="454">
        <f t="shared" si="0"/>
        <v>0</v>
      </c>
      <c r="AB69" s="284">
        <f t="shared" si="6"/>
        <v>0</v>
      </c>
      <c r="AC69" s="432" t="e">
        <f t="shared" si="9"/>
        <v>#DIV/0!</v>
      </c>
      <c r="AD69" s="410" t="e">
        <f t="shared" si="10"/>
        <v>#DIV/0!</v>
      </c>
      <c r="AE69" s="7"/>
      <c r="AF69" s="53" t="s">
        <v>418</v>
      </c>
    </row>
    <row r="70" spans="1:32" ht="48.75" customHeight="1" x14ac:dyDescent="0.25">
      <c r="A70" s="7">
        <v>26</v>
      </c>
      <c r="B70" s="48"/>
      <c r="C70" s="379"/>
      <c r="D70" s="13" t="s">
        <v>69</v>
      </c>
      <c r="E70" s="4" t="s">
        <v>197</v>
      </c>
      <c r="F70" s="7" t="s">
        <v>112</v>
      </c>
      <c r="G70" s="372"/>
      <c r="H70" s="373"/>
      <c r="I70" s="372">
        <f>200+0+0+0</f>
        <v>200</v>
      </c>
      <c r="J70" s="373">
        <f>42002</f>
        <v>42002</v>
      </c>
      <c r="K70" s="19"/>
      <c r="L70" s="29"/>
      <c r="M70" s="19">
        <v>51</v>
      </c>
      <c r="N70" s="69">
        <v>76700</v>
      </c>
      <c r="O70" s="19">
        <v>15</v>
      </c>
      <c r="P70" s="9">
        <v>0</v>
      </c>
      <c r="Q70" s="19"/>
      <c r="R70" s="9"/>
      <c r="S70" s="19"/>
      <c r="T70" s="9"/>
      <c r="U70" s="19"/>
      <c r="V70" s="9"/>
      <c r="W70" s="19">
        <f t="shared" si="2"/>
        <v>15</v>
      </c>
      <c r="X70" s="68">
        <f t="shared" si="3"/>
        <v>0</v>
      </c>
      <c r="Y70" s="410">
        <f t="shared" si="4"/>
        <v>29.411764705882355</v>
      </c>
      <c r="Z70" s="29">
        <f t="shared" si="5"/>
        <v>0</v>
      </c>
      <c r="AA70" s="453">
        <f t="shared" si="0"/>
        <v>215</v>
      </c>
      <c r="AB70" s="9">
        <f t="shared" si="6"/>
        <v>42002</v>
      </c>
      <c r="AC70" s="432" t="e">
        <f t="shared" si="9"/>
        <v>#DIV/0!</v>
      </c>
      <c r="AD70" s="410" t="e">
        <f t="shared" si="10"/>
        <v>#DIV/0!</v>
      </c>
      <c r="AE70" s="7"/>
      <c r="AF70" s="53" t="s">
        <v>419</v>
      </c>
    </row>
    <row r="71" spans="1:32" ht="37.5" customHeight="1" x14ac:dyDescent="0.25">
      <c r="A71" s="7">
        <v>27</v>
      </c>
      <c r="B71" s="48"/>
      <c r="C71" s="382"/>
      <c r="D71" s="6" t="s">
        <v>70</v>
      </c>
      <c r="E71" s="18" t="s">
        <v>133</v>
      </c>
      <c r="F71" s="7" t="s">
        <v>112</v>
      </c>
      <c r="G71" s="372"/>
      <c r="H71" s="373"/>
      <c r="I71" s="372"/>
      <c r="J71" s="373"/>
      <c r="K71" s="19"/>
      <c r="L71" s="29"/>
      <c r="M71" s="56">
        <v>35</v>
      </c>
      <c r="N71" s="29">
        <v>22544.85</v>
      </c>
      <c r="O71" s="28">
        <v>0</v>
      </c>
      <c r="P71" s="9">
        <v>0</v>
      </c>
      <c r="Q71" s="19"/>
      <c r="R71" s="9"/>
      <c r="S71" s="19"/>
      <c r="T71" s="9"/>
      <c r="U71" s="19"/>
      <c r="V71" s="9"/>
      <c r="W71" s="19">
        <f t="shared" si="2"/>
        <v>0</v>
      </c>
      <c r="X71" s="68">
        <f t="shared" si="3"/>
        <v>0</v>
      </c>
      <c r="Y71" s="410">
        <f t="shared" si="4"/>
        <v>0</v>
      </c>
      <c r="Z71" s="29">
        <f t="shared" si="5"/>
        <v>0</v>
      </c>
      <c r="AA71" s="453">
        <f t="shared" si="0"/>
        <v>0</v>
      </c>
      <c r="AB71" s="9">
        <f t="shared" si="6"/>
        <v>0</v>
      </c>
      <c r="AC71" s="432" t="e">
        <f t="shared" si="9"/>
        <v>#DIV/0!</v>
      </c>
      <c r="AD71" s="410" t="e">
        <f t="shared" si="10"/>
        <v>#DIV/0!</v>
      </c>
      <c r="AE71" s="7"/>
    </row>
    <row r="72" spans="1:32" ht="73.5" customHeight="1" x14ac:dyDescent="0.25">
      <c r="A72" s="7"/>
      <c r="B72" s="384" t="s">
        <v>236</v>
      </c>
      <c r="C72" s="380" t="s">
        <v>25</v>
      </c>
      <c r="D72" s="6"/>
      <c r="E72" s="18" t="s">
        <v>134</v>
      </c>
      <c r="F72" s="7" t="s">
        <v>135</v>
      </c>
      <c r="G72" s="372">
        <v>5</v>
      </c>
      <c r="H72" s="373">
        <v>535000</v>
      </c>
      <c r="I72" s="372">
        <v>4</v>
      </c>
      <c r="J72" s="424">
        <f>91128+52904+70000+79766.95</f>
        <v>293798.95</v>
      </c>
      <c r="K72" s="19">
        <v>1</v>
      </c>
      <c r="L72" s="23">
        <v>109319.6</v>
      </c>
      <c r="M72" s="56">
        <v>1</v>
      </c>
      <c r="N72" s="29"/>
      <c r="O72" s="28">
        <v>0</v>
      </c>
      <c r="P72" s="9">
        <v>0</v>
      </c>
      <c r="Q72" s="19"/>
      <c r="R72" s="9"/>
      <c r="S72" s="19"/>
      <c r="T72" s="9"/>
      <c r="U72" s="19"/>
      <c r="V72" s="9"/>
      <c r="W72" s="418">
        <f t="shared" si="2"/>
        <v>0</v>
      </c>
      <c r="X72" s="431">
        <f t="shared" si="3"/>
        <v>0</v>
      </c>
      <c r="Y72" s="419">
        <f t="shared" si="4"/>
        <v>0</v>
      </c>
      <c r="Z72" s="420" t="e">
        <f t="shared" si="5"/>
        <v>#DIV/0!</v>
      </c>
      <c r="AA72" s="455">
        <f t="shared" si="0"/>
        <v>4</v>
      </c>
      <c r="AB72" s="142">
        <f t="shared" si="6"/>
        <v>293798.95</v>
      </c>
      <c r="AC72" s="433">
        <f t="shared" ref="AC72:AD74" si="11">AA72/G72*100</f>
        <v>80</v>
      </c>
      <c r="AD72" s="419">
        <f t="shared" si="11"/>
        <v>54.915691588785052</v>
      </c>
      <c r="AE72" s="7"/>
    </row>
    <row r="73" spans="1:32" ht="35.25" customHeight="1" x14ac:dyDescent="0.25">
      <c r="A73" s="7">
        <v>28</v>
      </c>
      <c r="B73" s="48"/>
      <c r="C73" s="382"/>
      <c r="D73" s="6" t="s">
        <v>71</v>
      </c>
      <c r="E73" s="18" t="s">
        <v>136</v>
      </c>
      <c r="F73" s="7" t="s">
        <v>112</v>
      </c>
      <c r="G73" s="372"/>
      <c r="H73" s="373"/>
      <c r="I73" s="372"/>
      <c r="J73" s="373"/>
      <c r="K73" s="19"/>
      <c r="L73" s="29"/>
      <c r="M73" s="56">
        <v>26</v>
      </c>
      <c r="N73" s="29">
        <v>198406.25</v>
      </c>
      <c r="O73" s="28">
        <v>1</v>
      </c>
      <c r="P73" s="9">
        <v>0</v>
      </c>
      <c r="Q73" s="19"/>
      <c r="R73" s="9"/>
      <c r="S73" s="19"/>
      <c r="T73" s="9"/>
      <c r="U73" s="19"/>
      <c r="V73" s="9"/>
      <c r="W73" s="19">
        <f t="shared" si="2"/>
        <v>1</v>
      </c>
      <c r="X73" s="68">
        <f t="shared" si="3"/>
        <v>0</v>
      </c>
      <c r="Y73" s="410">
        <f t="shared" si="4"/>
        <v>3.8461538461538463</v>
      </c>
      <c r="Z73" s="29">
        <f t="shared" si="5"/>
        <v>0</v>
      </c>
      <c r="AA73" s="453">
        <f t="shared" si="0"/>
        <v>1</v>
      </c>
      <c r="AB73" s="9">
        <f t="shared" si="6"/>
        <v>0</v>
      </c>
      <c r="AC73" s="432" t="e">
        <f t="shared" si="11"/>
        <v>#DIV/0!</v>
      </c>
      <c r="AD73" s="410" t="e">
        <f t="shared" si="11"/>
        <v>#DIV/0!</v>
      </c>
      <c r="AE73" s="7"/>
    </row>
    <row r="74" spans="1:32" ht="35.25" customHeight="1" x14ac:dyDescent="0.25">
      <c r="A74" s="7"/>
      <c r="B74" s="48"/>
      <c r="C74" s="382"/>
      <c r="D74" s="6"/>
      <c r="E74" s="18" t="s">
        <v>137</v>
      </c>
      <c r="F74" s="7" t="s">
        <v>112</v>
      </c>
      <c r="G74" s="372"/>
      <c r="H74" s="373"/>
      <c r="I74" s="372"/>
      <c r="J74" s="373"/>
      <c r="K74" s="19"/>
      <c r="L74" s="29"/>
      <c r="M74" s="56">
        <v>51</v>
      </c>
      <c r="N74" s="29"/>
      <c r="O74" s="28">
        <v>15</v>
      </c>
      <c r="P74" s="9">
        <v>0</v>
      </c>
      <c r="Q74" s="19"/>
      <c r="R74" s="9"/>
      <c r="S74" s="19"/>
      <c r="T74" s="9"/>
      <c r="U74" s="19"/>
      <c r="V74" s="9"/>
      <c r="W74" s="19">
        <f t="shared" ref="W74:W103" si="12">O74+Q74+S74+U74</f>
        <v>15</v>
      </c>
      <c r="X74" s="68">
        <f t="shared" ref="X74:X103" si="13">P74+R74+T74+V74</f>
        <v>0</v>
      </c>
      <c r="Y74" s="410">
        <f t="shared" ref="Y74:Y103" si="14">W74/M74*100</f>
        <v>29.411764705882355</v>
      </c>
      <c r="Z74" s="29" t="e">
        <f t="shared" ref="Z74:Z103" si="15">X74/N74*100</f>
        <v>#DIV/0!</v>
      </c>
      <c r="AA74" s="455">
        <f t="shared" ref="AA74:AA103" si="16">I74+W74</f>
        <v>15</v>
      </c>
      <c r="AB74" s="142">
        <f t="shared" ref="AB74:AB103" si="17">X74+J74</f>
        <v>0</v>
      </c>
      <c r="AC74" s="433" t="e">
        <f t="shared" si="11"/>
        <v>#DIV/0!</v>
      </c>
      <c r="AD74" s="419" t="e">
        <f t="shared" si="11"/>
        <v>#DIV/0!</v>
      </c>
      <c r="AE74" s="7"/>
    </row>
    <row r="75" spans="1:32" s="376" customFormat="1" ht="87" customHeight="1" x14ac:dyDescent="0.25">
      <c r="A75" s="33"/>
      <c r="B75" s="387" t="s">
        <v>232</v>
      </c>
      <c r="C75" s="380" t="s">
        <v>158</v>
      </c>
      <c r="D75" s="45" t="s">
        <v>72</v>
      </c>
      <c r="E75" s="1"/>
      <c r="F75" s="33"/>
      <c r="G75" s="374"/>
      <c r="H75" s="421"/>
      <c r="I75" s="374"/>
      <c r="J75" s="421"/>
      <c r="K75" s="34"/>
      <c r="L75" s="36"/>
      <c r="M75" s="34"/>
      <c r="N75" s="59"/>
      <c r="O75" s="34"/>
      <c r="P75" s="35"/>
      <c r="Q75" s="34"/>
      <c r="R75" s="35"/>
      <c r="S75" s="34"/>
      <c r="T75" s="35"/>
      <c r="U75" s="34"/>
      <c r="V75" s="35"/>
      <c r="W75" s="34"/>
      <c r="X75" s="68"/>
      <c r="Y75" s="410"/>
      <c r="Z75" s="29"/>
      <c r="AA75" s="453">
        <f t="shared" si="16"/>
        <v>0</v>
      </c>
      <c r="AB75" s="9"/>
      <c r="AC75" s="432"/>
      <c r="AD75" s="411"/>
      <c r="AE75" s="33"/>
    </row>
    <row r="76" spans="1:32" ht="45" customHeight="1" x14ac:dyDescent="0.25">
      <c r="A76" s="7">
        <v>29</v>
      </c>
      <c r="B76" s="48" t="s">
        <v>237</v>
      </c>
      <c r="C76" s="380" t="s">
        <v>23</v>
      </c>
      <c r="D76" s="6" t="s">
        <v>67</v>
      </c>
      <c r="E76" s="4" t="s">
        <v>138</v>
      </c>
      <c r="F76" s="7" t="s">
        <v>112</v>
      </c>
      <c r="G76" s="372">
        <v>215</v>
      </c>
      <c r="H76" s="373">
        <v>1375500</v>
      </c>
      <c r="I76" s="372">
        <f>12+50+29+13</f>
        <v>104</v>
      </c>
      <c r="J76" s="423">
        <f>256450+256848+243547+146639.6</f>
        <v>903484.6</v>
      </c>
      <c r="K76" s="19">
        <v>35</v>
      </c>
      <c r="L76" s="23">
        <v>263122.90000000002</v>
      </c>
      <c r="M76" s="19">
        <v>35</v>
      </c>
      <c r="N76" s="23">
        <v>26072.9</v>
      </c>
      <c r="O76" s="19">
        <v>2</v>
      </c>
      <c r="P76" s="9">
        <v>1488</v>
      </c>
      <c r="Q76" s="19"/>
      <c r="R76" s="9"/>
      <c r="S76" s="19"/>
      <c r="T76" s="9"/>
      <c r="U76" s="19"/>
      <c r="V76" s="9"/>
      <c r="W76" s="19">
        <f t="shared" si="12"/>
        <v>2</v>
      </c>
      <c r="X76" s="68">
        <f t="shared" si="13"/>
        <v>1488</v>
      </c>
      <c r="Y76" s="410">
        <f t="shared" si="14"/>
        <v>5.7142857142857144</v>
      </c>
      <c r="Z76" s="29">
        <f t="shared" si="15"/>
        <v>5.7070751623333038</v>
      </c>
      <c r="AA76" s="453">
        <f t="shared" si="16"/>
        <v>106</v>
      </c>
      <c r="AB76" s="9">
        <f t="shared" si="17"/>
        <v>904972.6</v>
      </c>
      <c r="AC76" s="432">
        <f t="shared" ref="AC76:AC103" si="18">AA76/G76*100</f>
        <v>49.302325581395351</v>
      </c>
      <c r="AD76" s="410">
        <f t="shared" ref="AD76:AD103" si="19">AB76/H76*100</f>
        <v>65.792264631043253</v>
      </c>
      <c r="AE76" s="7"/>
    </row>
    <row r="77" spans="1:32" ht="32.25" customHeight="1" x14ac:dyDescent="0.25">
      <c r="A77" s="7">
        <v>30</v>
      </c>
      <c r="B77" s="48"/>
      <c r="C77" s="379"/>
      <c r="D77" s="13" t="s">
        <v>73</v>
      </c>
      <c r="E77" s="4" t="s">
        <v>139</v>
      </c>
      <c r="F77" s="7" t="s">
        <v>112</v>
      </c>
      <c r="G77" s="372"/>
      <c r="H77" s="373"/>
      <c r="I77" s="372"/>
      <c r="J77" s="373"/>
      <c r="K77" s="19"/>
      <c r="L77" s="29"/>
      <c r="M77" s="19">
        <v>35</v>
      </c>
      <c r="N77" s="9">
        <v>15600</v>
      </c>
      <c r="O77" s="19">
        <v>2</v>
      </c>
      <c r="P77" s="9">
        <v>3145.5</v>
      </c>
      <c r="Q77" s="19"/>
      <c r="R77" s="9"/>
      <c r="S77" s="19"/>
      <c r="T77" s="9"/>
      <c r="U77" s="19"/>
      <c r="V77" s="9"/>
      <c r="W77" s="19">
        <f t="shared" si="12"/>
        <v>2</v>
      </c>
      <c r="X77" s="68">
        <f t="shared" si="13"/>
        <v>3145.5</v>
      </c>
      <c r="Y77" s="410">
        <f t="shared" si="14"/>
        <v>5.7142857142857144</v>
      </c>
      <c r="Z77" s="29">
        <f t="shared" si="15"/>
        <v>20.16346153846154</v>
      </c>
      <c r="AA77" s="453">
        <f t="shared" si="16"/>
        <v>2</v>
      </c>
      <c r="AB77" s="9">
        <f t="shared" si="17"/>
        <v>3145.5</v>
      </c>
      <c r="AC77" s="432" t="e">
        <f>AA77/G77*100</f>
        <v>#DIV/0!</v>
      </c>
      <c r="AD77" s="410" t="e">
        <f>AB77/H77*100</f>
        <v>#DIV/0!</v>
      </c>
      <c r="AE77" s="7"/>
    </row>
    <row r="78" spans="1:32" ht="70.5" customHeight="1" x14ac:dyDescent="0.25">
      <c r="A78" s="7"/>
      <c r="B78" s="387" t="s">
        <v>213</v>
      </c>
      <c r="C78" s="381" t="s">
        <v>157</v>
      </c>
      <c r="D78" s="13"/>
      <c r="E78" s="18"/>
      <c r="F78" s="7"/>
      <c r="G78" s="372"/>
      <c r="H78" s="373"/>
      <c r="I78" s="372"/>
      <c r="J78" s="373"/>
      <c r="K78" s="19"/>
      <c r="L78" s="29"/>
      <c r="M78" s="19"/>
      <c r="N78" s="57"/>
      <c r="O78" s="19"/>
      <c r="P78" s="9"/>
      <c r="Q78" s="19"/>
      <c r="R78" s="9"/>
      <c r="S78" s="19"/>
      <c r="T78" s="9"/>
      <c r="U78" s="19"/>
      <c r="V78" s="9"/>
      <c r="W78" s="19"/>
      <c r="X78" s="68"/>
      <c r="Y78" s="410"/>
      <c r="Z78" s="29"/>
      <c r="AA78" s="453">
        <f t="shared" si="16"/>
        <v>0</v>
      </c>
      <c r="AB78" s="142">
        <f t="shared" si="17"/>
        <v>0</v>
      </c>
      <c r="AC78" s="432"/>
      <c r="AD78" s="410"/>
      <c r="AE78" s="7"/>
    </row>
    <row r="79" spans="1:32" ht="48" customHeight="1" x14ac:dyDescent="0.25">
      <c r="A79" s="7">
        <v>31</v>
      </c>
      <c r="B79" s="48" t="s">
        <v>238</v>
      </c>
      <c r="C79" s="381" t="s">
        <v>164</v>
      </c>
      <c r="D79" s="6" t="s">
        <v>70</v>
      </c>
      <c r="E79" s="18" t="s">
        <v>145</v>
      </c>
      <c r="F79" s="7" t="s">
        <v>112</v>
      </c>
      <c r="G79" s="372">
        <v>324</v>
      </c>
      <c r="H79" s="373">
        <v>1055000</v>
      </c>
      <c r="I79" s="372">
        <f>60+100+160+210</f>
        <v>530</v>
      </c>
      <c r="J79" s="423">
        <f>82031+130850+407400+810819.1</f>
        <v>1431100.1</v>
      </c>
      <c r="K79" s="19">
        <v>50</v>
      </c>
      <c r="L79" s="9">
        <v>239320</v>
      </c>
      <c r="M79" s="56">
        <v>50</v>
      </c>
      <c r="N79" s="23">
        <v>865346.1</v>
      </c>
      <c r="O79" s="28">
        <v>0</v>
      </c>
      <c r="P79" s="9">
        <v>15600</v>
      </c>
      <c r="Q79" s="19"/>
      <c r="R79" s="9"/>
      <c r="S79" s="19"/>
      <c r="T79" s="9"/>
      <c r="U79" s="19"/>
      <c r="V79" s="9"/>
      <c r="W79" s="19">
        <f t="shared" si="12"/>
        <v>0</v>
      </c>
      <c r="X79" s="68">
        <f t="shared" si="13"/>
        <v>15600</v>
      </c>
      <c r="Y79" s="410">
        <f t="shared" si="14"/>
        <v>0</v>
      </c>
      <c r="Z79" s="29">
        <f t="shared" si="15"/>
        <v>1.8027469009220705</v>
      </c>
      <c r="AA79" s="453">
        <f t="shared" si="16"/>
        <v>530</v>
      </c>
      <c r="AB79" s="9">
        <f t="shared" si="17"/>
        <v>1446700.1</v>
      </c>
      <c r="AC79" s="432">
        <f t="shared" si="18"/>
        <v>163.58024691358025</v>
      </c>
      <c r="AD79" s="410">
        <f t="shared" si="19"/>
        <v>137.12797156398105</v>
      </c>
      <c r="AE79" s="7"/>
    </row>
    <row r="80" spans="1:32" ht="59.25" customHeight="1" x14ac:dyDescent="0.25">
      <c r="A80" s="7"/>
      <c r="B80" s="48" t="s">
        <v>239</v>
      </c>
      <c r="C80" s="381" t="s">
        <v>22</v>
      </c>
      <c r="D80" s="6"/>
      <c r="E80" s="18" t="s">
        <v>142</v>
      </c>
      <c r="F80" s="7" t="s">
        <v>112</v>
      </c>
      <c r="G80" s="372">
        <v>319</v>
      </c>
      <c r="H80" s="373">
        <v>292500</v>
      </c>
      <c r="I80" s="372">
        <f>69+50+0+40</f>
        <v>159</v>
      </c>
      <c r="J80" s="423">
        <f>41805+180700+0+21519.8</f>
        <v>244024.8</v>
      </c>
      <c r="K80" s="19">
        <v>80</v>
      </c>
      <c r="L80" s="9">
        <v>60000</v>
      </c>
      <c r="M80" s="56">
        <v>80</v>
      </c>
      <c r="N80" s="29"/>
      <c r="O80" s="28"/>
      <c r="P80" s="9"/>
      <c r="Q80" s="19"/>
      <c r="R80" s="9"/>
      <c r="S80" s="19"/>
      <c r="T80" s="9"/>
      <c r="U80" s="19"/>
      <c r="V80" s="9"/>
      <c r="W80" s="418">
        <f t="shared" si="12"/>
        <v>0</v>
      </c>
      <c r="X80" s="431">
        <f t="shared" si="13"/>
        <v>0</v>
      </c>
      <c r="Y80" s="419">
        <f t="shared" si="14"/>
        <v>0</v>
      </c>
      <c r="Z80" s="420" t="e">
        <f t="shared" si="15"/>
        <v>#DIV/0!</v>
      </c>
      <c r="AA80" s="453">
        <f t="shared" si="16"/>
        <v>159</v>
      </c>
      <c r="AB80" s="142">
        <f t="shared" si="17"/>
        <v>244024.8</v>
      </c>
      <c r="AC80" s="433">
        <f t="shared" si="18"/>
        <v>49.843260188087775</v>
      </c>
      <c r="AD80" s="419">
        <f t="shared" si="19"/>
        <v>83.427282051282049</v>
      </c>
      <c r="AE80" s="7"/>
      <c r="AF80" s="53" t="s">
        <v>421</v>
      </c>
    </row>
    <row r="81" spans="1:31" ht="75" customHeight="1" x14ac:dyDescent="0.25">
      <c r="A81" s="7"/>
      <c r="B81" s="387" t="s">
        <v>240</v>
      </c>
      <c r="C81" s="381" t="s">
        <v>266</v>
      </c>
      <c r="D81" s="6"/>
      <c r="E81" s="18"/>
      <c r="F81" s="7"/>
      <c r="G81" s="372"/>
      <c r="H81" s="373"/>
      <c r="I81" s="372"/>
      <c r="J81" s="373"/>
      <c r="K81" s="19"/>
      <c r="L81" s="9"/>
      <c r="M81" s="56"/>
      <c r="N81" s="29"/>
      <c r="O81" s="28"/>
      <c r="P81" s="9"/>
      <c r="Q81" s="19"/>
      <c r="R81" s="9"/>
      <c r="S81" s="19"/>
      <c r="T81" s="9"/>
      <c r="U81" s="19"/>
      <c r="V81" s="9"/>
      <c r="W81" s="418"/>
      <c r="X81" s="431"/>
      <c r="Y81" s="419"/>
      <c r="Z81" s="420"/>
      <c r="AA81" s="453">
        <f t="shared" si="16"/>
        <v>0</v>
      </c>
      <c r="AB81" s="142">
        <f t="shared" si="17"/>
        <v>0</v>
      </c>
      <c r="AC81" s="433"/>
      <c r="AD81" s="419"/>
      <c r="AE81" s="7"/>
    </row>
    <row r="82" spans="1:31" ht="60.75" customHeight="1" x14ac:dyDescent="0.25">
      <c r="A82" s="7"/>
      <c r="B82" s="48" t="s">
        <v>241</v>
      </c>
      <c r="C82" s="381" t="s">
        <v>165</v>
      </c>
      <c r="D82" s="6"/>
      <c r="E82" s="18" t="s">
        <v>140</v>
      </c>
      <c r="F82" s="7" t="s">
        <v>112</v>
      </c>
      <c r="G82" s="372">
        <v>105</v>
      </c>
      <c r="H82" s="373">
        <v>405000</v>
      </c>
      <c r="I82" s="372">
        <f>20+30+20+20</f>
        <v>90</v>
      </c>
      <c r="J82" s="424">
        <f>47292+74400+0+11999.95</f>
        <v>133691.95000000001</v>
      </c>
      <c r="K82" s="19">
        <v>20</v>
      </c>
      <c r="L82" s="23">
        <v>69319.899999999994</v>
      </c>
      <c r="M82" s="56">
        <v>20</v>
      </c>
      <c r="N82" s="29"/>
      <c r="O82" s="28"/>
      <c r="P82" s="9"/>
      <c r="Q82" s="19"/>
      <c r="R82" s="9"/>
      <c r="S82" s="19"/>
      <c r="T82" s="9"/>
      <c r="U82" s="19"/>
      <c r="V82" s="9"/>
      <c r="W82" s="418">
        <f>O82+Q82+S82+U82</f>
        <v>0</v>
      </c>
      <c r="X82" s="431">
        <f>P82+R82+T82+V82</f>
        <v>0</v>
      </c>
      <c r="Y82" s="419">
        <f>W82/M82*100</f>
        <v>0</v>
      </c>
      <c r="Z82" s="420" t="e">
        <f>X82/N82*100</f>
        <v>#DIV/0!</v>
      </c>
      <c r="AA82" s="453">
        <f t="shared" si="16"/>
        <v>90</v>
      </c>
      <c r="AB82" s="142">
        <f t="shared" si="17"/>
        <v>133691.95000000001</v>
      </c>
      <c r="AC82" s="433">
        <f>AA82/G82*100</f>
        <v>85.714285714285708</v>
      </c>
      <c r="AD82" s="419">
        <f>AB82/H82*100</f>
        <v>33.010358024691364</v>
      </c>
      <c r="AE82" s="7"/>
    </row>
    <row r="83" spans="1:31" ht="45.75" customHeight="1" x14ac:dyDescent="0.25">
      <c r="A83" s="7"/>
      <c r="B83" s="387" t="s">
        <v>232</v>
      </c>
      <c r="C83" s="380" t="s">
        <v>158</v>
      </c>
      <c r="D83" s="6"/>
      <c r="E83" s="18"/>
      <c r="F83" s="7"/>
      <c r="G83" s="372"/>
      <c r="H83" s="373"/>
      <c r="I83" s="372"/>
      <c r="J83" s="373"/>
      <c r="K83" s="19"/>
      <c r="L83" s="23"/>
      <c r="M83" s="56"/>
      <c r="N83" s="29"/>
      <c r="O83" s="28"/>
      <c r="P83" s="9"/>
      <c r="Q83" s="19"/>
      <c r="R83" s="9"/>
      <c r="S83" s="19"/>
      <c r="T83" s="9"/>
      <c r="U83" s="19"/>
      <c r="V83" s="9"/>
      <c r="W83" s="418"/>
      <c r="X83" s="431"/>
      <c r="Y83" s="419"/>
      <c r="Z83" s="420"/>
      <c r="AA83" s="453">
        <f t="shared" si="16"/>
        <v>0</v>
      </c>
      <c r="AB83" s="142">
        <f t="shared" si="17"/>
        <v>0</v>
      </c>
      <c r="AC83" s="433"/>
      <c r="AD83" s="419"/>
      <c r="AE83" s="7"/>
    </row>
    <row r="84" spans="1:31" ht="52.5" customHeight="1" x14ac:dyDescent="0.25">
      <c r="A84" s="7"/>
      <c r="B84" s="48" t="s">
        <v>265</v>
      </c>
      <c r="C84" s="381" t="s">
        <v>264</v>
      </c>
      <c r="D84" s="6"/>
      <c r="E84" s="18" t="s">
        <v>246</v>
      </c>
      <c r="F84" s="15" t="s">
        <v>248</v>
      </c>
      <c r="G84" s="372">
        <v>278</v>
      </c>
      <c r="H84" s="373">
        <v>1900000</v>
      </c>
      <c r="I84" s="372">
        <f>0+64+0+0</f>
        <v>64</v>
      </c>
      <c r="J84" s="425">
        <f>0+225553+0+0</f>
        <v>225553</v>
      </c>
      <c r="K84" s="19">
        <v>1</v>
      </c>
      <c r="L84" s="9">
        <v>10500</v>
      </c>
      <c r="M84" s="56">
        <v>20</v>
      </c>
      <c r="N84" s="29"/>
      <c r="O84" s="28"/>
      <c r="P84" s="9"/>
      <c r="Q84" s="19"/>
      <c r="R84" s="9"/>
      <c r="S84" s="19"/>
      <c r="T84" s="9"/>
      <c r="U84" s="19"/>
      <c r="V84" s="9"/>
      <c r="W84" s="418">
        <f t="shared" si="12"/>
        <v>0</v>
      </c>
      <c r="X84" s="431">
        <f t="shared" si="13"/>
        <v>0</v>
      </c>
      <c r="Y84" s="419">
        <f t="shared" si="14"/>
        <v>0</v>
      </c>
      <c r="Z84" s="420" t="e">
        <f t="shared" si="15"/>
        <v>#DIV/0!</v>
      </c>
      <c r="AA84" s="453">
        <f t="shared" si="16"/>
        <v>64</v>
      </c>
      <c r="AB84" s="142">
        <f t="shared" si="17"/>
        <v>225553</v>
      </c>
      <c r="AC84" s="433">
        <f t="shared" si="18"/>
        <v>23.021582733812952</v>
      </c>
      <c r="AD84" s="419">
        <f t="shared" si="19"/>
        <v>11.871210526315789</v>
      </c>
      <c r="AE84" s="7"/>
    </row>
    <row r="85" spans="1:31" ht="45.75" customHeight="1" x14ac:dyDescent="0.25">
      <c r="A85" s="7"/>
      <c r="B85" s="48"/>
      <c r="C85" s="382"/>
      <c r="D85" s="17"/>
      <c r="E85" s="18" t="s">
        <v>143</v>
      </c>
      <c r="F85" s="15" t="s">
        <v>248</v>
      </c>
      <c r="G85" s="372"/>
      <c r="H85" s="373"/>
      <c r="I85" s="372"/>
      <c r="J85" s="373"/>
      <c r="K85" s="19">
        <v>1</v>
      </c>
      <c r="L85" s="9">
        <v>149320</v>
      </c>
      <c r="M85" s="56">
        <v>30</v>
      </c>
      <c r="N85" s="29"/>
      <c r="O85" s="28"/>
      <c r="P85" s="9"/>
      <c r="Q85" s="19"/>
      <c r="R85" s="9"/>
      <c r="S85" s="19"/>
      <c r="T85" s="9"/>
      <c r="U85" s="19"/>
      <c r="V85" s="9"/>
      <c r="W85" s="418">
        <f t="shared" si="12"/>
        <v>0</v>
      </c>
      <c r="X85" s="431">
        <f t="shared" si="13"/>
        <v>0</v>
      </c>
      <c r="Y85" s="419">
        <f t="shared" si="14"/>
        <v>0</v>
      </c>
      <c r="Z85" s="420" t="e">
        <f t="shared" si="15"/>
        <v>#DIV/0!</v>
      </c>
      <c r="AA85" s="453">
        <f t="shared" si="16"/>
        <v>0</v>
      </c>
      <c r="AB85" s="142">
        <f t="shared" si="17"/>
        <v>0</v>
      </c>
      <c r="AC85" s="433" t="e">
        <f t="shared" si="18"/>
        <v>#DIV/0!</v>
      </c>
      <c r="AD85" s="419" t="e">
        <f t="shared" si="19"/>
        <v>#DIV/0!</v>
      </c>
      <c r="AE85" s="7"/>
    </row>
    <row r="86" spans="1:31" ht="49.5" customHeight="1" x14ac:dyDescent="0.25">
      <c r="A86" s="7"/>
      <c r="B86" s="48"/>
      <c r="C86" s="382"/>
      <c r="D86" s="17"/>
      <c r="E86" s="18" t="s">
        <v>144</v>
      </c>
      <c r="F86" s="15" t="s">
        <v>248</v>
      </c>
      <c r="G86" s="372"/>
      <c r="H86" s="373"/>
      <c r="I86" s="372"/>
      <c r="J86" s="373"/>
      <c r="K86" s="19">
        <v>1</v>
      </c>
      <c r="L86" s="9">
        <v>149320</v>
      </c>
      <c r="M86" s="56">
        <v>30</v>
      </c>
      <c r="N86" s="29"/>
      <c r="O86" s="28"/>
      <c r="P86" s="9"/>
      <c r="Q86" s="19"/>
      <c r="R86" s="9"/>
      <c r="S86" s="19"/>
      <c r="T86" s="9"/>
      <c r="U86" s="19"/>
      <c r="V86" s="9"/>
      <c r="W86" s="418">
        <f t="shared" si="12"/>
        <v>0</v>
      </c>
      <c r="X86" s="431">
        <f t="shared" si="13"/>
        <v>0</v>
      </c>
      <c r="Y86" s="419">
        <f t="shared" si="14"/>
        <v>0</v>
      </c>
      <c r="Z86" s="420" t="e">
        <f t="shared" si="15"/>
        <v>#DIV/0!</v>
      </c>
      <c r="AA86" s="453">
        <f t="shared" si="16"/>
        <v>0</v>
      </c>
      <c r="AB86" s="142">
        <f t="shared" si="17"/>
        <v>0</v>
      </c>
      <c r="AC86" s="433" t="e">
        <f t="shared" si="18"/>
        <v>#DIV/0!</v>
      </c>
      <c r="AD86" s="419" t="e">
        <f t="shared" si="19"/>
        <v>#DIV/0!</v>
      </c>
      <c r="AE86" s="7"/>
    </row>
    <row r="87" spans="1:31" ht="27.75" customHeight="1" x14ac:dyDescent="0.25">
      <c r="A87" s="7"/>
      <c r="B87" s="48"/>
      <c r="C87" s="382"/>
      <c r="D87" s="6"/>
      <c r="E87" s="18" t="s">
        <v>141</v>
      </c>
      <c r="F87" s="7" t="s">
        <v>112</v>
      </c>
      <c r="G87" s="372"/>
      <c r="H87" s="373"/>
      <c r="I87" s="372"/>
      <c r="J87" s="373"/>
      <c r="K87" s="19"/>
      <c r="L87" s="29"/>
      <c r="M87" s="56">
        <v>35</v>
      </c>
      <c r="N87" s="29"/>
      <c r="O87" s="375"/>
      <c r="P87" s="9"/>
      <c r="Q87" s="19"/>
      <c r="R87" s="9"/>
      <c r="S87" s="19"/>
      <c r="T87" s="9"/>
      <c r="U87" s="19"/>
      <c r="V87" s="9"/>
      <c r="W87" s="418">
        <f t="shared" si="12"/>
        <v>0</v>
      </c>
      <c r="X87" s="431">
        <f t="shared" si="13"/>
        <v>0</v>
      </c>
      <c r="Y87" s="419">
        <f t="shared" si="14"/>
        <v>0</v>
      </c>
      <c r="Z87" s="420" t="e">
        <f t="shared" si="15"/>
        <v>#DIV/0!</v>
      </c>
      <c r="AA87" s="453">
        <f t="shared" si="16"/>
        <v>0</v>
      </c>
      <c r="AB87" s="142">
        <f t="shared" si="17"/>
        <v>0</v>
      </c>
      <c r="AC87" s="433" t="e">
        <f t="shared" si="18"/>
        <v>#DIV/0!</v>
      </c>
      <c r="AD87" s="419" t="e">
        <f t="shared" si="19"/>
        <v>#DIV/0!</v>
      </c>
      <c r="AE87" s="7"/>
    </row>
    <row r="88" spans="1:31" ht="72" customHeight="1" x14ac:dyDescent="0.25">
      <c r="A88" s="7">
        <v>32</v>
      </c>
      <c r="B88" s="48"/>
      <c r="C88" s="379"/>
      <c r="D88" s="14" t="s">
        <v>74</v>
      </c>
      <c r="E88" s="4" t="s">
        <v>146</v>
      </c>
      <c r="F88" s="7" t="s">
        <v>147</v>
      </c>
      <c r="G88" s="372"/>
      <c r="H88" s="373"/>
      <c r="I88" s="372"/>
      <c r="J88" s="373"/>
      <c r="K88" s="19"/>
      <c r="L88" s="29"/>
      <c r="M88" s="19">
        <v>200</v>
      </c>
      <c r="N88" s="9">
        <v>27300</v>
      </c>
      <c r="O88" s="19">
        <v>0</v>
      </c>
      <c r="P88" s="9">
        <v>0</v>
      </c>
      <c r="Q88" s="19"/>
      <c r="R88" s="9"/>
      <c r="S88" s="19"/>
      <c r="T88" s="9"/>
      <c r="U88" s="19"/>
      <c r="V88" s="9"/>
      <c r="W88" s="19">
        <f t="shared" si="12"/>
        <v>0</v>
      </c>
      <c r="X88" s="68">
        <f t="shared" si="13"/>
        <v>0</v>
      </c>
      <c r="Y88" s="410">
        <f t="shared" si="14"/>
        <v>0</v>
      </c>
      <c r="Z88" s="29">
        <f t="shared" si="15"/>
        <v>0</v>
      </c>
      <c r="AA88" s="453">
        <f t="shared" si="16"/>
        <v>0</v>
      </c>
      <c r="AB88" s="9">
        <f t="shared" si="17"/>
        <v>0</v>
      </c>
      <c r="AC88" s="456" t="e">
        <f t="shared" si="18"/>
        <v>#DIV/0!</v>
      </c>
      <c r="AD88" s="457" t="e">
        <f t="shared" si="19"/>
        <v>#DIV/0!</v>
      </c>
      <c r="AE88" s="7"/>
    </row>
    <row r="89" spans="1:31" ht="60.75" customHeight="1" x14ac:dyDescent="0.25">
      <c r="A89" s="7">
        <v>33</v>
      </c>
      <c r="B89" s="48" t="s">
        <v>261</v>
      </c>
      <c r="C89" s="380" t="s">
        <v>260</v>
      </c>
      <c r="D89" s="13" t="s">
        <v>75</v>
      </c>
      <c r="E89" s="4" t="s">
        <v>148</v>
      </c>
      <c r="F89" s="7" t="s">
        <v>125</v>
      </c>
      <c r="G89" s="372">
        <v>5</v>
      </c>
      <c r="H89" s="373">
        <v>750000</v>
      </c>
      <c r="I89" s="372">
        <v>0</v>
      </c>
      <c r="J89" s="373">
        <f>0+245572+32402+0</f>
        <v>277974</v>
      </c>
      <c r="K89" s="19">
        <v>1</v>
      </c>
      <c r="L89" s="9">
        <v>149320</v>
      </c>
      <c r="M89" s="19">
        <v>1</v>
      </c>
      <c r="N89" s="23">
        <v>149319.9</v>
      </c>
      <c r="O89" s="19">
        <v>0</v>
      </c>
      <c r="P89" s="9">
        <v>0</v>
      </c>
      <c r="Q89" s="19"/>
      <c r="R89" s="9"/>
      <c r="S89" s="19"/>
      <c r="T89" s="9"/>
      <c r="U89" s="19"/>
      <c r="V89" s="9"/>
      <c r="W89" s="19">
        <f t="shared" si="12"/>
        <v>0</v>
      </c>
      <c r="X89" s="68">
        <f t="shared" si="13"/>
        <v>0</v>
      </c>
      <c r="Y89" s="410">
        <f t="shared" si="14"/>
        <v>0</v>
      </c>
      <c r="Z89" s="29">
        <f t="shared" si="15"/>
        <v>0</v>
      </c>
      <c r="AA89" s="453">
        <f t="shared" si="16"/>
        <v>0</v>
      </c>
      <c r="AB89" s="9">
        <f t="shared" si="17"/>
        <v>277974</v>
      </c>
      <c r="AC89" s="432">
        <f t="shared" si="18"/>
        <v>0</v>
      </c>
      <c r="AD89" s="410">
        <f t="shared" si="19"/>
        <v>37.063200000000002</v>
      </c>
      <c r="AE89" s="7"/>
    </row>
    <row r="90" spans="1:31" s="376" customFormat="1" ht="37.5" customHeight="1" x14ac:dyDescent="0.25">
      <c r="A90" s="39"/>
      <c r="B90" s="64"/>
      <c r="C90" s="64"/>
      <c r="D90" s="22" t="s">
        <v>76</v>
      </c>
      <c r="E90" s="60"/>
      <c r="F90" s="39" t="s">
        <v>93</v>
      </c>
      <c r="G90" s="40"/>
      <c r="H90" s="41">
        <f>SUM(H91:H92)</f>
        <v>2828200</v>
      </c>
      <c r="I90" s="40"/>
      <c r="J90" s="41">
        <f>SUM(J91:J92)</f>
        <v>2099815</v>
      </c>
      <c r="K90" s="40"/>
      <c r="L90" s="42">
        <f>SUM(L91:L92)</f>
        <v>1273171.5</v>
      </c>
      <c r="M90" s="40"/>
      <c r="N90" s="42">
        <f>SUM(N91:N92)</f>
        <v>1273171.5</v>
      </c>
      <c r="O90" s="40">
        <v>0</v>
      </c>
      <c r="P90" s="43">
        <f>SUM(P91:P92)</f>
        <v>494.3</v>
      </c>
      <c r="Q90" s="40"/>
      <c r="R90" s="41"/>
      <c r="S90" s="40"/>
      <c r="T90" s="41"/>
      <c r="U90" s="40"/>
      <c r="V90" s="41"/>
      <c r="W90" s="40">
        <v>0</v>
      </c>
      <c r="X90" s="73">
        <f>SUM(X91:X92)</f>
        <v>494.3</v>
      </c>
      <c r="Y90" s="407" t="e">
        <f t="shared" ref="Y90:Z92" si="20">W90/M90*100</f>
        <v>#DIV/0!</v>
      </c>
      <c r="Z90" s="42">
        <f t="shared" si="20"/>
        <v>3.8824306073455148E-2</v>
      </c>
      <c r="AA90" s="407">
        <f t="shared" si="16"/>
        <v>0</v>
      </c>
      <c r="AB90" s="41">
        <f t="shared" si="17"/>
        <v>2100309.2999999998</v>
      </c>
      <c r="AC90" s="435" t="e">
        <f t="shared" ref="AC90:AD92" si="21">AA90/G90*100</f>
        <v>#DIV/0!</v>
      </c>
      <c r="AD90" s="407">
        <f t="shared" si="21"/>
        <v>74.263110812530925</v>
      </c>
      <c r="AE90" s="39"/>
    </row>
    <row r="91" spans="1:31" s="376" customFormat="1" ht="33" customHeight="1" x14ac:dyDescent="0.25">
      <c r="A91" s="39"/>
      <c r="B91" s="64"/>
      <c r="C91" s="64"/>
      <c r="D91" s="61"/>
      <c r="E91" s="399" t="s">
        <v>149</v>
      </c>
      <c r="F91" s="388" t="s">
        <v>93</v>
      </c>
      <c r="G91" s="390">
        <v>1.01</v>
      </c>
      <c r="H91" s="391">
        <f>SUM(H94:H96)</f>
        <v>703200</v>
      </c>
      <c r="I91" s="390"/>
      <c r="J91" s="391">
        <f>SUM(J94:J96)</f>
        <v>357661</v>
      </c>
      <c r="K91" s="390">
        <v>0.83</v>
      </c>
      <c r="L91" s="393">
        <f>SUM(L94:L96)</f>
        <v>199319.85</v>
      </c>
      <c r="M91" s="390">
        <v>0.83</v>
      </c>
      <c r="N91" s="393">
        <f>SUM(N94:N96)</f>
        <v>199319.85</v>
      </c>
      <c r="O91" s="390">
        <v>0</v>
      </c>
      <c r="P91" s="391">
        <v>0</v>
      </c>
      <c r="Q91" s="40"/>
      <c r="R91" s="41"/>
      <c r="S91" s="40"/>
      <c r="T91" s="41"/>
      <c r="U91" s="40"/>
      <c r="V91" s="41"/>
      <c r="W91" s="390">
        <v>0</v>
      </c>
      <c r="X91" s="394">
        <f>P91+R91+T91+V91</f>
        <v>0</v>
      </c>
      <c r="Y91" s="409">
        <f t="shared" si="20"/>
        <v>0</v>
      </c>
      <c r="Z91" s="393">
        <f t="shared" si="20"/>
        <v>0</v>
      </c>
      <c r="AA91" s="409">
        <f t="shared" si="16"/>
        <v>0</v>
      </c>
      <c r="AB91" s="391">
        <f t="shared" si="17"/>
        <v>357661</v>
      </c>
      <c r="AC91" s="449">
        <f t="shared" si="21"/>
        <v>0</v>
      </c>
      <c r="AD91" s="409">
        <f t="shared" si="21"/>
        <v>50.861916951080779</v>
      </c>
      <c r="AE91" s="388"/>
    </row>
    <row r="92" spans="1:31" s="376" customFormat="1" ht="33" customHeight="1" x14ac:dyDescent="0.25">
      <c r="A92" s="39"/>
      <c r="B92" s="64"/>
      <c r="C92" s="64"/>
      <c r="D92" s="61"/>
      <c r="E92" s="399" t="s">
        <v>198</v>
      </c>
      <c r="F92" s="388" t="s">
        <v>93</v>
      </c>
      <c r="G92" s="390">
        <v>0.33</v>
      </c>
      <c r="H92" s="391">
        <f>SUM(H98:H99)</f>
        <v>2125000</v>
      </c>
      <c r="I92" s="409">
        <f>0.23+0.03+0.053+0.018</f>
        <v>0.33100000000000002</v>
      </c>
      <c r="J92" s="391">
        <f>SUM(J98:J99)</f>
        <v>1742154</v>
      </c>
      <c r="K92" s="390">
        <v>0.28999999999999998</v>
      </c>
      <c r="L92" s="393">
        <f>SUM(L98:L99)</f>
        <v>1073851.6499999999</v>
      </c>
      <c r="M92" s="390">
        <v>0.28999999999999998</v>
      </c>
      <c r="N92" s="393">
        <f>SUM(N98:N99)</f>
        <v>1073851.6499999999</v>
      </c>
      <c r="O92" s="390">
        <v>0</v>
      </c>
      <c r="P92" s="392">
        <f>SUM(P98:P99)</f>
        <v>494.3</v>
      </c>
      <c r="Q92" s="40"/>
      <c r="R92" s="41"/>
      <c r="S92" s="40"/>
      <c r="T92" s="41"/>
      <c r="U92" s="40"/>
      <c r="V92" s="41"/>
      <c r="W92" s="390">
        <v>0</v>
      </c>
      <c r="X92" s="394">
        <f>P92+R92+T92+V92</f>
        <v>494.3</v>
      </c>
      <c r="Y92" s="409">
        <f t="shared" si="20"/>
        <v>0</v>
      </c>
      <c r="Z92" s="393">
        <f t="shared" si="20"/>
        <v>4.6030566698854546E-2</v>
      </c>
      <c r="AA92" s="409">
        <f t="shared" si="16"/>
        <v>0.33100000000000002</v>
      </c>
      <c r="AB92" s="391">
        <f t="shared" si="17"/>
        <v>1742648.3</v>
      </c>
      <c r="AC92" s="449">
        <f t="shared" si="21"/>
        <v>100.3030303030303</v>
      </c>
      <c r="AD92" s="409">
        <f t="shared" si="21"/>
        <v>82.006978823529423</v>
      </c>
      <c r="AE92" s="388"/>
    </row>
    <row r="93" spans="1:31" ht="33.75" customHeight="1" x14ac:dyDescent="0.25">
      <c r="A93" s="7"/>
      <c r="B93" s="387" t="s">
        <v>242</v>
      </c>
      <c r="C93" s="380" t="s">
        <v>159</v>
      </c>
      <c r="D93" s="45" t="s">
        <v>77</v>
      </c>
      <c r="E93" s="4"/>
      <c r="F93" s="7"/>
      <c r="G93" s="372"/>
      <c r="H93" s="373"/>
      <c r="I93" s="372"/>
      <c r="J93" s="373"/>
      <c r="K93" s="19"/>
      <c r="L93" s="29"/>
      <c r="M93" s="19"/>
      <c r="N93" s="29"/>
      <c r="O93" s="19"/>
      <c r="P93" s="9"/>
      <c r="Q93" s="19"/>
      <c r="R93" s="9"/>
      <c r="S93" s="19"/>
      <c r="T93" s="9"/>
      <c r="U93" s="19"/>
      <c r="V93" s="9"/>
      <c r="W93" s="19"/>
      <c r="X93" s="68"/>
      <c r="Y93" s="410"/>
      <c r="Z93" s="29"/>
      <c r="AA93" s="453"/>
      <c r="AB93" s="35"/>
      <c r="AC93" s="432"/>
      <c r="AD93" s="410"/>
      <c r="AE93" s="7"/>
    </row>
    <row r="94" spans="1:31" ht="39" customHeight="1" x14ac:dyDescent="0.25">
      <c r="A94" s="7">
        <v>34</v>
      </c>
      <c r="B94" s="48" t="s">
        <v>243</v>
      </c>
      <c r="C94" s="380" t="s">
        <v>193</v>
      </c>
      <c r="D94" s="6" t="s">
        <v>78</v>
      </c>
      <c r="E94" s="4" t="s">
        <v>150</v>
      </c>
      <c r="F94" s="7" t="s">
        <v>112</v>
      </c>
      <c r="G94" s="372">
        <v>585</v>
      </c>
      <c r="H94" s="373">
        <v>703200</v>
      </c>
      <c r="I94" s="372">
        <f>36+86+98+0</f>
        <v>220</v>
      </c>
      <c r="J94" s="373">
        <f>62767+142804+152090+0</f>
        <v>357661</v>
      </c>
      <c r="K94" s="19">
        <v>125</v>
      </c>
      <c r="L94" s="29">
        <v>199319.85</v>
      </c>
      <c r="M94" s="19">
        <v>55</v>
      </c>
      <c r="N94" s="9">
        <v>21541</v>
      </c>
      <c r="O94" s="19">
        <f>7+6+6</f>
        <v>19</v>
      </c>
      <c r="P94" s="9">
        <v>0</v>
      </c>
      <c r="Q94" s="19"/>
      <c r="R94" s="9"/>
      <c r="S94" s="19"/>
      <c r="T94" s="9"/>
      <c r="U94" s="19"/>
      <c r="V94" s="9"/>
      <c r="W94" s="19">
        <f t="shared" si="12"/>
        <v>19</v>
      </c>
      <c r="X94" s="68">
        <f t="shared" si="13"/>
        <v>0</v>
      </c>
      <c r="Y94" s="410">
        <f t="shared" si="14"/>
        <v>34.545454545454547</v>
      </c>
      <c r="Z94" s="29">
        <f t="shared" si="15"/>
        <v>0</v>
      </c>
      <c r="AA94" s="453">
        <f t="shared" si="16"/>
        <v>239</v>
      </c>
      <c r="AB94" s="9">
        <f t="shared" si="17"/>
        <v>357661</v>
      </c>
      <c r="AC94" s="432">
        <f t="shared" si="18"/>
        <v>40.854700854700852</v>
      </c>
      <c r="AD94" s="410">
        <f t="shared" si="19"/>
        <v>50.861916951080779</v>
      </c>
      <c r="AE94" s="7"/>
    </row>
    <row r="95" spans="1:31" ht="33.75" customHeight="1" x14ac:dyDescent="0.25">
      <c r="A95" s="7">
        <v>35</v>
      </c>
      <c r="B95" s="48"/>
      <c r="C95" s="379"/>
      <c r="D95" s="6" t="s">
        <v>79</v>
      </c>
      <c r="E95" s="4" t="s">
        <v>151</v>
      </c>
      <c r="F95" s="7" t="s">
        <v>112</v>
      </c>
      <c r="G95" s="372"/>
      <c r="H95" s="373"/>
      <c r="I95" s="372"/>
      <c r="J95" s="373"/>
      <c r="K95" s="19"/>
      <c r="L95" s="29"/>
      <c r="M95" s="19">
        <v>30</v>
      </c>
      <c r="N95" s="9">
        <v>11666</v>
      </c>
      <c r="O95" s="19">
        <v>1</v>
      </c>
      <c r="P95" s="9">
        <v>0</v>
      </c>
      <c r="Q95" s="19"/>
      <c r="R95" s="9"/>
      <c r="S95" s="19"/>
      <c r="T95" s="9"/>
      <c r="U95" s="19"/>
      <c r="V95" s="9"/>
      <c r="W95" s="19">
        <f t="shared" si="12"/>
        <v>1</v>
      </c>
      <c r="X95" s="68">
        <f t="shared" si="13"/>
        <v>0</v>
      </c>
      <c r="Y95" s="410">
        <f t="shared" si="14"/>
        <v>3.3333333333333335</v>
      </c>
      <c r="Z95" s="29">
        <f t="shared" si="15"/>
        <v>0</v>
      </c>
      <c r="AA95" s="453">
        <f t="shared" si="16"/>
        <v>1</v>
      </c>
      <c r="AB95" s="9">
        <f t="shared" si="17"/>
        <v>0</v>
      </c>
      <c r="AC95" s="456" t="e">
        <f t="shared" si="18"/>
        <v>#DIV/0!</v>
      </c>
      <c r="AD95" s="457" t="e">
        <f t="shared" si="19"/>
        <v>#DIV/0!</v>
      </c>
      <c r="AE95" s="7"/>
    </row>
    <row r="96" spans="1:31" ht="46.5" customHeight="1" x14ac:dyDescent="0.25">
      <c r="A96" s="7">
        <v>36</v>
      </c>
      <c r="B96" s="48"/>
      <c r="C96" s="379"/>
      <c r="D96" s="6" t="s">
        <v>80</v>
      </c>
      <c r="E96" s="4" t="s">
        <v>152</v>
      </c>
      <c r="F96" s="7" t="s">
        <v>112</v>
      </c>
      <c r="G96" s="372"/>
      <c r="H96" s="373"/>
      <c r="I96" s="372"/>
      <c r="J96" s="373"/>
      <c r="K96" s="19"/>
      <c r="L96" s="29"/>
      <c r="M96" s="19">
        <v>100</v>
      </c>
      <c r="N96" s="29">
        <v>166112.85</v>
      </c>
      <c r="O96" s="19">
        <v>0</v>
      </c>
      <c r="P96" s="9">
        <v>0</v>
      </c>
      <c r="Q96" s="19"/>
      <c r="R96" s="9"/>
      <c r="S96" s="19"/>
      <c r="T96" s="9"/>
      <c r="U96" s="19"/>
      <c r="V96" s="9"/>
      <c r="W96" s="19">
        <f t="shared" si="12"/>
        <v>0</v>
      </c>
      <c r="X96" s="68">
        <f t="shared" si="13"/>
        <v>0</v>
      </c>
      <c r="Y96" s="410">
        <f t="shared" si="14"/>
        <v>0</v>
      </c>
      <c r="Z96" s="29">
        <f t="shared" si="15"/>
        <v>0</v>
      </c>
      <c r="AA96" s="453">
        <f t="shared" si="16"/>
        <v>0</v>
      </c>
      <c r="AB96" s="9">
        <f t="shared" si="17"/>
        <v>0</v>
      </c>
      <c r="AC96" s="456" t="e">
        <f t="shared" si="18"/>
        <v>#DIV/0!</v>
      </c>
      <c r="AD96" s="457" t="e">
        <f t="shared" si="19"/>
        <v>#DIV/0!</v>
      </c>
      <c r="AE96" s="7"/>
    </row>
    <row r="97" spans="1:31" ht="45" customHeight="1" x14ac:dyDescent="0.25">
      <c r="A97" s="7"/>
      <c r="B97" s="387" t="s">
        <v>232</v>
      </c>
      <c r="C97" s="380" t="s">
        <v>158</v>
      </c>
      <c r="D97" s="5" t="s">
        <v>81</v>
      </c>
      <c r="E97" s="4"/>
      <c r="F97" s="7"/>
      <c r="G97" s="372"/>
      <c r="H97" s="373"/>
      <c r="I97" s="372"/>
      <c r="J97" s="373"/>
      <c r="K97" s="19"/>
      <c r="L97" s="29"/>
      <c r="M97" s="19"/>
      <c r="N97" s="29"/>
      <c r="O97" s="19"/>
      <c r="P97" s="9"/>
      <c r="Q97" s="19"/>
      <c r="R97" s="9"/>
      <c r="S97" s="19"/>
      <c r="T97" s="9"/>
      <c r="U97" s="19"/>
      <c r="V97" s="9"/>
      <c r="W97" s="19"/>
      <c r="X97" s="68"/>
      <c r="Y97" s="410"/>
      <c r="Z97" s="29"/>
      <c r="AA97" s="453"/>
      <c r="AB97" s="9"/>
      <c r="AC97" s="432"/>
      <c r="AD97" s="410"/>
      <c r="AE97" s="7"/>
    </row>
    <row r="98" spans="1:31" ht="33.75" customHeight="1" x14ac:dyDescent="0.25">
      <c r="A98" s="7">
        <v>37</v>
      </c>
      <c r="B98" s="48" t="s">
        <v>244</v>
      </c>
      <c r="C98" s="380" t="s">
        <v>259</v>
      </c>
      <c r="D98" s="6" t="s">
        <v>82</v>
      </c>
      <c r="E98" s="4" t="s">
        <v>153</v>
      </c>
      <c r="F98" s="7" t="s">
        <v>95</v>
      </c>
      <c r="G98" s="372">
        <v>5</v>
      </c>
      <c r="H98" s="373">
        <v>350000</v>
      </c>
      <c r="I98" s="372">
        <v>4</v>
      </c>
      <c r="J98" s="373">
        <f>124885+45579+0+4700</f>
        <v>175164</v>
      </c>
      <c r="K98" s="19">
        <v>1</v>
      </c>
      <c r="L98" s="9">
        <v>70000</v>
      </c>
      <c r="M98" s="19">
        <v>1</v>
      </c>
      <c r="N98" s="9">
        <v>2760</v>
      </c>
      <c r="O98" s="19">
        <v>0</v>
      </c>
      <c r="P98" s="23">
        <v>494.3</v>
      </c>
      <c r="Q98" s="19"/>
      <c r="R98" s="9"/>
      <c r="S98" s="19"/>
      <c r="T98" s="9"/>
      <c r="U98" s="19"/>
      <c r="V98" s="9"/>
      <c r="W98" s="19">
        <f t="shared" si="12"/>
        <v>0</v>
      </c>
      <c r="X98" s="68">
        <f t="shared" si="13"/>
        <v>494.3</v>
      </c>
      <c r="Y98" s="410">
        <f t="shared" si="14"/>
        <v>0</v>
      </c>
      <c r="Z98" s="29">
        <f t="shared" si="15"/>
        <v>17.909420289855074</v>
      </c>
      <c r="AA98" s="453">
        <f t="shared" si="16"/>
        <v>4</v>
      </c>
      <c r="AB98" s="23">
        <f t="shared" si="17"/>
        <v>175658.3</v>
      </c>
      <c r="AC98" s="432">
        <f t="shared" si="18"/>
        <v>80</v>
      </c>
      <c r="AD98" s="410">
        <f t="shared" si="19"/>
        <v>50.188085714285712</v>
      </c>
      <c r="AE98" s="7"/>
    </row>
    <row r="99" spans="1:31" ht="35.25" customHeight="1" x14ac:dyDescent="0.25">
      <c r="A99" s="7">
        <v>38</v>
      </c>
      <c r="B99" s="48" t="s">
        <v>263</v>
      </c>
      <c r="C99" s="380" t="s">
        <v>262</v>
      </c>
      <c r="D99" s="6" t="s">
        <v>81</v>
      </c>
      <c r="E99" s="4" t="s">
        <v>154</v>
      </c>
      <c r="F99" s="15" t="s">
        <v>252</v>
      </c>
      <c r="G99" s="372">
        <v>5</v>
      </c>
      <c r="H99" s="373">
        <v>1775000</v>
      </c>
      <c r="I99" s="372">
        <v>4</v>
      </c>
      <c r="J99" s="373">
        <f>0+1566990+0+0</f>
        <v>1566990</v>
      </c>
      <c r="K99" s="19">
        <v>1011</v>
      </c>
      <c r="L99" s="29">
        <v>1003851.65</v>
      </c>
      <c r="M99" s="19">
        <v>25</v>
      </c>
      <c r="N99" s="29">
        <v>1071091.6499999999</v>
      </c>
      <c r="O99" s="19">
        <v>0</v>
      </c>
      <c r="P99" s="23">
        <v>0</v>
      </c>
      <c r="Q99" s="19"/>
      <c r="R99" s="9"/>
      <c r="S99" s="19"/>
      <c r="T99" s="9"/>
      <c r="U99" s="19"/>
      <c r="V99" s="9"/>
      <c r="W99" s="19">
        <f t="shared" si="12"/>
        <v>0</v>
      </c>
      <c r="X99" s="68">
        <f t="shared" si="13"/>
        <v>0</v>
      </c>
      <c r="Y99" s="410">
        <f t="shared" si="14"/>
        <v>0</v>
      </c>
      <c r="Z99" s="29">
        <f t="shared" si="15"/>
        <v>0</v>
      </c>
      <c r="AA99" s="453">
        <f t="shared" si="16"/>
        <v>4</v>
      </c>
      <c r="AB99" s="9">
        <f t="shared" si="17"/>
        <v>1566990</v>
      </c>
      <c r="AC99" s="432">
        <f t="shared" si="18"/>
        <v>80</v>
      </c>
      <c r="AD99" s="410">
        <f t="shared" si="19"/>
        <v>88.281126760563382</v>
      </c>
      <c r="AE99" s="7"/>
    </row>
    <row r="100" spans="1:31" s="376" customFormat="1" ht="31.5" customHeight="1" x14ac:dyDescent="0.25">
      <c r="A100" s="39"/>
      <c r="B100" s="64"/>
      <c r="C100" s="64"/>
      <c r="D100" s="22" t="s">
        <v>83</v>
      </c>
      <c r="E100" s="21"/>
      <c r="F100" s="39" t="s">
        <v>93</v>
      </c>
      <c r="G100" s="40">
        <v>100</v>
      </c>
      <c r="H100" s="41">
        <f>SUM(H101)</f>
        <v>1725000</v>
      </c>
      <c r="I100" s="407">
        <f>I101</f>
        <v>99.671232876712324</v>
      </c>
      <c r="J100" s="73">
        <f>SUM(J101)</f>
        <v>1402794.8659999999</v>
      </c>
      <c r="K100" s="40">
        <v>100</v>
      </c>
      <c r="L100" s="41">
        <f>SUM(L101)</f>
        <v>400000</v>
      </c>
      <c r="M100" s="40">
        <v>100</v>
      </c>
      <c r="N100" s="41">
        <f>SUM(N101)</f>
        <v>400000</v>
      </c>
      <c r="O100" s="417">
        <v>7.1</v>
      </c>
      <c r="P100" s="41">
        <f>SUM(P102)</f>
        <v>0</v>
      </c>
      <c r="Q100" s="40"/>
      <c r="R100" s="41"/>
      <c r="S100" s="40"/>
      <c r="T100" s="41"/>
      <c r="U100" s="40"/>
      <c r="V100" s="41"/>
      <c r="W100" s="40">
        <f t="shared" si="12"/>
        <v>7.1</v>
      </c>
      <c r="X100" s="73">
        <f>X101</f>
        <v>0</v>
      </c>
      <c r="Y100" s="428">
        <f t="shared" si="14"/>
        <v>7.1</v>
      </c>
      <c r="Z100" s="42">
        <f>Z101</f>
        <v>0</v>
      </c>
      <c r="AA100" s="407">
        <f t="shared" si="16"/>
        <v>106.77123287671232</v>
      </c>
      <c r="AB100" s="73">
        <f>SUM(AB101)</f>
        <v>1402794.8659999999</v>
      </c>
      <c r="AC100" s="435">
        <f>AA100/G100*100</f>
        <v>106.7712328767123</v>
      </c>
      <c r="AD100" s="407">
        <f>AB100/H100*100</f>
        <v>81.321441507246377</v>
      </c>
      <c r="AE100" s="39"/>
    </row>
    <row r="101" spans="1:31" s="376" customFormat="1" ht="33.75" customHeight="1" x14ac:dyDescent="0.25">
      <c r="A101" s="39"/>
      <c r="B101" s="64"/>
      <c r="C101" s="64"/>
      <c r="D101" s="22"/>
      <c r="E101" s="395" t="s">
        <v>155</v>
      </c>
      <c r="F101" s="388" t="s">
        <v>93</v>
      </c>
      <c r="G101" s="390">
        <v>100</v>
      </c>
      <c r="H101" s="391">
        <v>1725000</v>
      </c>
      <c r="I101" s="409">
        <f>I103/G103*100</f>
        <v>99.671232876712324</v>
      </c>
      <c r="J101" s="394">
        <v>1402794.8659999999</v>
      </c>
      <c r="K101" s="390">
        <v>100</v>
      </c>
      <c r="L101" s="391">
        <v>400000</v>
      </c>
      <c r="M101" s="390">
        <v>100</v>
      </c>
      <c r="N101" s="391">
        <v>400000</v>
      </c>
      <c r="O101" s="401">
        <v>7.1</v>
      </c>
      <c r="P101" s="391">
        <v>0</v>
      </c>
      <c r="Q101" s="390"/>
      <c r="R101" s="391"/>
      <c r="S101" s="390"/>
      <c r="T101" s="391"/>
      <c r="U101" s="390"/>
      <c r="V101" s="391"/>
      <c r="W101" s="390">
        <f>W103/1000*100</f>
        <v>7.1</v>
      </c>
      <c r="X101" s="394">
        <f>SUM(X103)</f>
        <v>0</v>
      </c>
      <c r="Y101" s="448">
        <f t="shared" si="14"/>
        <v>7.1</v>
      </c>
      <c r="Z101" s="393">
        <f>SUM(Z103)</f>
        <v>0</v>
      </c>
      <c r="AA101" s="407">
        <f t="shared" si="16"/>
        <v>106.77123287671232</v>
      </c>
      <c r="AB101" s="394">
        <f t="shared" si="17"/>
        <v>1402794.8659999999</v>
      </c>
      <c r="AC101" s="449">
        <f>AA101/G101*100</f>
        <v>106.7712328767123</v>
      </c>
      <c r="AD101" s="409">
        <f>AB101/H101*100</f>
        <v>81.321441507246377</v>
      </c>
      <c r="AE101" s="388"/>
    </row>
    <row r="102" spans="1:31" ht="48" customHeight="1" x14ac:dyDescent="0.25">
      <c r="A102" s="7"/>
      <c r="B102" s="387"/>
      <c r="C102" s="380"/>
      <c r="D102" s="5" t="s">
        <v>84</v>
      </c>
      <c r="E102" s="4"/>
      <c r="F102" s="7"/>
      <c r="G102" s="372"/>
      <c r="H102" s="373"/>
      <c r="I102" s="372"/>
      <c r="J102" s="373"/>
      <c r="K102" s="19"/>
      <c r="L102" s="29"/>
      <c r="M102" s="19"/>
      <c r="N102" s="29"/>
      <c r="O102" s="19"/>
      <c r="P102" s="9"/>
      <c r="Q102" s="19"/>
      <c r="R102" s="9"/>
      <c r="S102" s="19"/>
      <c r="T102" s="9"/>
      <c r="U102" s="19"/>
      <c r="V102" s="9"/>
      <c r="W102" s="19"/>
      <c r="X102" s="68"/>
      <c r="Y102" s="410"/>
      <c r="Z102" s="29"/>
      <c r="AA102" s="410"/>
      <c r="AB102" s="35"/>
      <c r="AC102" s="410"/>
      <c r="AD102" s="410"/>
      <c r="AE102" s="333"/>
    </row>
    <row r="103" spans="1:31" ht="59.25" customHeight="1" x14ac:dyDescent="0.25">
      <c r="A103" s="7">
        <v>39</v>
      </c>
      <c r="B103" s="48" t="s">
        <v>245</v>
      </c>
      <c r="C103" s="380" t="s">
        <v>194</v>
      </c>
      <c r="D103" s="6" t="s">
        <v>85</v>
      </c>
      <c r="E103" s="4" t="s">
        <v>156</v>
      </c>
      <c r="F103" s="7" t="s">
        <v>147</v>
      </c>
      <c r="G103" s="372">
        <v>3650</v>
      </c>
      <c r="H103" s="373">
        <v>1725000</v>
      </c>
      <c r="I103" s="372">
        <f>100+500+1740+1298</f>
        <v>3638</v>
      </c>
      <c r="J103" s="422">
        <f>127526+117784+399610+757874.866</f>
        <v>1402794.8659999999</v>
      </c>
      <c r="K103" s="19">
        <v>1000</v>
      </c>
      <c r="L103" s="9">
        <v>400000</v>
      </c>
      <c r="M103" s="19">
        <v>1000</v>
      </c>
      <c r="N103" s="9">
        <v>400000</v>
      </c>
      <c r="O103" s="19">
        <f>71</f>
        <v>71</v>
      </c>
      <c r="P103" s="9">
        <v>0</v>
      </c>
      <c r="Q103" s="19"/>
      <c r="R103" s="9"/>
      <c r="S103" s="19"/>
      <c r="T103" s="9"/>
      <c r="U103" s="19"/>
      <c r="V103" s="9"/>
      <c r="W103" s="19">
        <f t="shared" si="12"/>
        <v>71</v>
      </c>
      <c r="X103" s="68">
        <f t="shared" si="13"/>
        <v>0</v>
      </c>
      <c r="Y103" s="410">
        <f t="shared" si="14"/>
        <v>7.1</v>
      </c>
      <c r="Z103" s="29">
        <f t="shared" si="15"/>
        <v>0</v>
      </c>
      <c r="AA103" s="453">
        <f t="shared" si="16"/>
        <v>3709</v>
      </c>
      <c r="AB103" s="429">
        <f t="shared" si="17"/>
        <v>1402794.8659999999</v>
      </c>
      <c r="AC103" s="410">
        <f t="shared" si="18"/>
        <v>101.61643835616438</v>
      </c>
      <c r="AD103" s="410">
        <f t="shared" si="19"/>
        <v>81.321441507246377</v>
      </c>
      <c r="AE103" s="333"/>
    </row>
    <row r="104" spans="1:31" x14ac:dyDescent="0.25">
      <c r="C104" s="25"/>
      <c r="D104" s="26"/>
      <c r="E104" s="16"/>
    </row>
    <row r="105" spans="1:31" x14ac:dyDescent="0.25">
      <c r="C105" s="27"/>
      <c r="L105" s="71">
        <f>L9+L41+L62+L90+L100</f>
        <v>10561311.168</v>
      </c>
      <c r="N105" s="74">
        <f>N9+N41+N62+N90+N100</f>
        <v>10548401.100000001</v>
      </c>
      <c r="P105" s="71">
        <f>P9+P41+P62+P90+P100</f>
        <v>955895.91200000001</v>
      </c>
      <c r="X105" s="74">
        <f>X9+X41+X62+X90+X100</f>
        <v>955895.91200000001</v>
      </c>
    </row>
    <row r="106" spans="1:31" x14ac:dyDescent="0.25">
      <c r="C106" s="24"/>
      <c r="L106" s="444">
        <v>7103021.4280000003</v>
      </c>
    </row>
    <row r="108" spans="1:31" x14ac:dyDescent="0.25">
      <c r="L108" s="446">
        <f>L105-L106</f>
        <v>3458289.7399999993</v>
      </c>
    </row>
    <row r="110" spans="1:31" x14ac:dyDescent="0.25">
      <c r="L110" s="445">
        <f>L105-L11</f>
        <v>7103021.4279999994</v>
      </c>
    </row>
  </sheetData>
  <mergeCells count="30">
    <mergeCell ref="A4:A7"/>
    <mergeCell ref="B4:B7"/>
    <mergeCell ref="C4:C7"/>
    <mergeCell ref="E4:E7"/>
    <mergeCell ref="F4:F7"/>
    <mergeCell ref="D4:D7"/>
    <mergeCell ref="AC4:AD6"/>
    <mergeCell ref="AE4:AE7"/>
    <mergeCell ref="O5:P6"/>
    <mergeCell ref="Q5:R6"/>
    <mergeCell ref="S5:T6"/>
    <mergeCell ref="U5:V6"/>
    <mergeCell ref="O4:V4"/>
    <mergeCell ref="W4:X6"/>
    <mergeCell ref="Y4:Z6"/>
    <mergeCell ref="AA4:AB6"/>
    <mergeCell ref="AC8:AD8"/>
    <mergeCell ref="G8:H8"/>
    <mergeCell ref="I8:J8"/>
    <mergeCell ref="K8:N8"/>
    <mergeCell ref="O8:P8"/>
    <mergeCell ref="Q8:R8"/>
    <mergeCell ref="S8:T8"/>
    <mergeCell ref="U8:V8"/>
    <mergeCell ref="W8:X8"/>
    <mergeCell ref="I4:J6"/>
    <mergeCell ref="K4:N6"/>
    <mergeCell ref="G4:H6"/>
    <mergeCell ref="Y8:Z8"/>
    <mergeCell ref="AA8:AB8"/>
  </mergeCells>
  <printOptions horizontalCentered="1"/>
  <pageMargins left="0.19685039370078741" right="0.19685039370078741" top="0" bottom="0" header="0.31496062992125984" footer="0.31496062992125984"/>
  <pageSetup paperSize="14" scale="41" fitToHeight="0" orientation="landscape" horizontalDpi="0" verticalDpi="0" r:id="rId1"/>
  <rowBreaks count="2" manualBreakCount="2">
    <brk id="36" max="30" man="1"/>
    <brk id="99" max="3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V92"/>
  <sheetViews>
    <sheetView zoomScale="70" zoomScaleNormal="70" zoomScaleSheetLayoutView="80" workbookViewId="0">
      <selection activeCell="J24" sqref="J24"/>
    </sheetView>
  </sheetViews>
  <sheetFormatPr defaultRowHeight="15" x14ac:dyDescent="0.25"/>
  <cols>
    <col min="1" max="1" width="2.28515625" customWidth="1"/>
    <col min="2" max="2" width="3.7109375" customWidth="1"/>
    <col min="3" max="3" width="18.85546875" customWidth="1"/>
    <col min="4" max="4" width="20.85546875" customWidth="1"/>
    <col min="5" max="5" width="21.140625" style="340" customWidth="1"/>
    <col min="6" max="6" width="7.42578125" style="341" customWidth="1"/>
    <col min="7" max="7" width="7.140625" style="355" customWidth="1"/>
    <col min="8" max="8" width="14.85546875" style="349" bestFit="1" customWidth="1"/>
    <col min="9" max="9" width="7.140625" style="343" customWidth="1"/>
    <col min="10" max="10" width="14.5703125" style="343" customWidth="1"/>
    <col min="11" max="11" width="6.5703125" style="355" customWidth="1"/>
    <col min="12" max="12" width="14.85546875" style="349" customWidth="1"/>
    <col min="13" max="13" width="7" style="349" customWidth="1"/>
    <col min="14" max="14" width="14.28515625" style="349" customWidth="1"/>
    <col min="15" max="15" width="13.42578125" style="349" customWidth="1"/>
    <col min="16" max="16" width="7" style="356" customWidth="1"/>
    <col min="17" max="17" width="14" bestFit="1" customWidth="1"/>
    <col min="18" max="18" width="6.85546875" style="358" customWidth="1"/>
    <col min="19" max="19" width="13.42578125" bestFit="1" customWidth="1"/>
    <col min="20" max="20" width="7.28515625" bestFit="1" customWidth="1"/>
    <col min="21" max="21" width="11.7109375" bestFit="1" customWidth="1"/>
    <col min="22" max="22" width="8.140625" bestFit="1" customWidth="1"/>
    <col min="23" max="23" width="13.42578125" bestFit="1" customWidth="1"/>
    <col min="24" max="24" width="7.140625" bestFit="1" customWidth="1"/>
    <col min="25" max="25" width="13.28515625" customWidth="1"/>
    <col min="26" max="26" width="9.28515625" bestFit="1" customWidth="1"/>
    <col min="27" max="27" width="8" style="359" customWidth="1"/>
    <col min="28" max="28" width="6.85546875" style="136" customWidth="1"/>
    <col min="29" max="29" width="12.140625" style="354" customWidth="1"/>
    <col min="30" max="30" width="7.5703125" style="136" customWidth="1"/>
    <col min="31" max="31" width="6.5703125" style="354" customWidth="1"/>
    <col min="32" max="32" width="17.42578125" customWidth="1"/>
    <col min="34" max="34" width="19.5703125" customWidth="1"/>
    <col min="35" max="35" width="13.5703125" bestFit="1" customWidth="1"/>
  </cols>
  <sheetData>
    <row r="1" spans="2:74" ht="20.25" x14ac:dyDescent="0.25">
      <c r="B1" s="1029" t="s">
        <v>270</v>
      </c>
      <c r="C1" s="1030"/>
      <c r="D1" s="1030"/>
      <c r="E1" s="1030"/>
      <c r="F1" s="1030"/>
      <c r="G1" s="1030"/>
      <c r="H1" s="1030"/>
      <c r="I1" s="1030"/>
      <c r="J1" s="1030"/>
      <c r="K1" s="1030"/>
      <c r="L1" s="1030"/>
      <c r="M1" s="1030"/>
      <c r="N1" s="1030"/>
      <c r="O1" s="1030"/>
      <c r="P1" s="1030"/>
      <c r="Q1" s="1030"/>
      <c r="R1" s="1030"/>
      <c r="S1" s="1030"/>
      <c r="T1" s="1030"/>
      <c r="U1" s="1030"/>
      <c r="V1" s="1030"/>
      <c r="W1" s="1030"/>
      <c r="X1" s="1030"/>
      <c r="Y1" s="1030"/>
      <c r="Z1" s="1030"/>
      <c r="AA1" s="1030"/>
      <c r="AB1" s="1030"/>
      <c r="AC1" s="1030"/>
      <c r="AD1" s="1030"/>
      <c r="AE1" s="1030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</row>
    <row r="2" spans="2:74" x14ac:dyDescent="0.25">
      <c r="B2" s="1030"/>
      <c r="C2" s="1030"/>
      <c r="D2" s="1030"/>
      <c r="E2" s="1030"/>
      <c r="F2" s="1030"/>
      <c r="G2" s="1030"/>
      <c r="H2" s="1030"/>
      <c r="I2" s="1030"/>
      <c r="J2" s="1030"/>
      <c r="K2" s="1030"/>
      <c r="L2" s="1030"/>
      <c r="M2" s="1030"/>
      <c r="N2" s="1030"/>
      <c r="O2" s="1030"/>
      <c r="P2" s="1030"/>
      <c r="Q2" s="1030"/>
      <c r="R2" s="1030"/>
      <c r="S2" s="1030"/>
      <c r="T2" s="1030"/>
      <c r="U2" s="1030"/>
      <c r="V2" s="1030"/>
      <c r="W2" s="1030"/>
      <c r="X2" s="1030"/>
      <c r="Y2" s="1030"/>
      <c r="Z2" s="1030"/>
      <c r="AA2" s="1030"/>
      <c r="AB2" s="1030"/>
      <c r="AC2" s="1030"/>
      <c r="AD2" s="1030"/>
      <c r="AE2" s="1030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</row>
    <row r="3" spans="2:74" ht="15.75" thickBot="1" x14ac:dyDescent="0.3">
      <c r="B3" s="1031" t="s">
        <v>271</v>
      </c>
      <c r="C3" s="1031"/>
      <c r="D3" s="1031"/>
      <c r="E3" s="1031"/>
      <c r="F3" s="1031"/>
      <c r="G3" s="1031"/>
      <c r="H3" s="1031"/>
      <c r="I3" s="1031"/>
      <c r="J3" s="1031"/>
      <c r="K3" s="1031"/>
      <c r="L3" s="1031"/>
      <c r="M3" s="1031"/>
      <c r="N3" s="1031"/>
      <c r="O3" s="1031"/>
      <c r="P3" s="1031"/>
      <c r="Q3" s="1031"/>
      <c r="R3" s="1031"/>
      <c r="S3" s="1031"/>
      <c r="T3" s="1031"/>
      <c r="U3" s="1031"/>
      <c r="V3" s="78"/>
      <c r="W3" s="78"/>
      <c r="X3" s="78"/>
      <c r="Y3" s="78"/>
      <c r="Z3" s="78"/>
      <c r="AA3" s="78"/>
      <c r="AB3" s="78"/>
      <c r="AC3" s="79"/>
      <c r="AD3" s="78"/>
      <c r="AE3" s="79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</row>
    <row r="4" spans="2:74" s="80" customFormat="1" ht="16.5" thickTop="1" thickBot="1" x14ac:dyDescent="0.3">
      <c r="B4" s="1032" t="s">
        <v>0</v>
      </c>
      <c r="C4" s="1034" t="s">
        <v>272</v>
      </c>
      <c r="D4" s="1034" t="s">
        <v>273</v>
      </c>
      <c r="E4" s="1036" t="s">
        <v>274</v>
      </c>
      <c r="F4" s="1037"/>
      <c r="G4" s="1034" t="s">
        <v>275</v>
      </c>
      <c r="H4" s="1034"/>
      <c r="I4" s="1036" t="s">
        <v>276</v>
      </c>
      <c r="J4" s="1037"/>
      <c r="K4" s="1036" t="s">
        <v>277</v>
      </c>
      <c r="L4" s="1041"/>
      <c r="M4" s="1041"/>
      <c r="N4" s="1041"/>
      <c r="O4" s="1037"/>
      <c r="P4" s="1035" t="s">
        <v>278</v>
      </c>
      <c r="Q4" s="1035"/>
      <c r="R4" s="1035"/>
      <c r="S4" s="1035"/>
      <c r="T4" s="1035"/>
      <c r="U4" s="1035"/>
      <c r="V4" s="1035"/>
      <c r="W4" s="1035"/>
      <c r="X4" s="1034" t="s">
        <v>279</v>
      </c>
      <c r="Y4" s="1034"/>
      <c r="Z4" s="1034" t="s">
        <v>280</v>
      </c>
      <c r="AA4" s="1034"/>
      <c r="AB4" s="1050" t="s">
        <v>281</v>
      </c>
      <c r="AC4" s="1034"/>
      <c r="AD4" s="1034" t="s">
        <v>282</v>
      </c>
      <c r="AE4" s="1045"/>
    </row>
    <row r="5" spans="2:74" ht="72" customHeight="1" thickTop="1" x14ac:dyDescent="0.25">
      <c r="B5" s="1033"/>
      <c r="C5" s="1035"/>
      <c r="D5" s="1035"/>
      <c r="E5" s="1038"/>
      <c r="F5" s="1039"/>
      <c r="G5" s="1040"/>
      <c r="H5" s="1040"/>
      <c r="I5" s="1038"/>
      <c r="J5" s="1039"/>
      <c r="K5" s="1038"/>
      <c r="L5" s="1042"/>
      <c r="M5" s="1043"/>
      <c r="N5" s="1043"/>
      <c r="O5" s="1044"/>
      <c r="P5" s="1047" t="s">
        <v>4</v>
      </c>
      <c r="Q5" s="1047"/>
      <c r="R5" s="1047" t="s">
        <v>5</v>
      </c>
      <c r="S5" s="1047"/>
      <c r="T5" s="1047" t="s">
        <v>6</v>
      </c>
      <c r="U5" s="1047"/>
      <c r="V5" s="1047" t="s">
        <v>7</v>
      </c>
      <c r="W5" s="1047"/>
      <c r="X5" s="1040"/>
      <c r="Y5" s="1040"/>
      <c r="Z5" s="1040"/>
      <c r="AA5" s="1040"/>
      <c r="AB5" s="1051"/>
      <c r="AC5" s="1040"/>
      <c r="AD5" s="1040"/>
      <c r="AE5" s="1046"/>
    </row>
    <row r="6" spans="2:74" ht="15.75" thickBot="1" x14ac:dyDescent="0.3">
      <c r="B6" s="81"/>
      <c r="C6" s="82"/>
      <c r="D6" s="82"/>
      <c r="E6" s="83" t="s">
        <v>283</v>
      </c>
      <c r="F6" s="83" t="s">
        <v>1</v>
      </c>
      <c r="G6" s="84" t="s">
        <v>8</v>
      </c>
      <c r="H6" s="84" t="s">
        <v>284</v>
      </c>
      <c r="I6" s="84" t="s">
        <v>8</v>
      </c>
      <c r="J6" s="84" t="s">
        <v>284</v>
      </c>
      <c r="K6" s="84" t="s">
        <v>8</v>
      </c>
      <c r="L6" s="84" t="s">
        <v>285</v>
      </c>
      <c r="M6" s="84" t="s">
        <v>8</v>
      </c>
      <c r="N6" s="84" t="s">
        <v>286</v>
      </c>
      <c r="O6" s="84" t="s">
        <v>287</v>
      </c>
      <c r="P6" s="84" t="s">
        <v>8</v>
      </c>
      <c r="Q6" s="84" t="s">
        <v>284</v>
      </c>
      <c r="R6" s="84" t="s">
        <v>8</v>
      </c>
      <c r="S6" s="84" t="s">
        <v>284</v>
      </c>
      <c r="T6" s="84" t="s">
        <v>8</v>
      </c>
      <c r="U6" s="84" t="s">
        <v>284</v>
      </c>
      <c r="V6" s="84" t="s">
        <v>8</v>
      </c>
      <c r="W6" s="84" t="s">
        <v>284</v>
      </c>
      <c r="X6" s="84" t="s">
        <v>8</v>
      </c>
      <c r="Y6" s="84" t="s">
        <v>284</v>
      </c>
      <c r="Z6" s="84" t="s">
        <v>8</v>
      </c>
      <c r="AA6" s="85" t="s">
        <v>284</v>
      </c>
      <c r="AB6" s="86" t="s">
        <v>8</v>
      </c>
      <c r="AC6" s="85" t="s">
        <v>284</v>
      </c>
      <c r="AD6" s="84" t="s">
        <v>8</v>
      </c>
      <c r="AE6" s="87" t="s">
        <v>284</v>
      </c>
    </row>
    <row r="7" spans="2:74" ht="15.75" thickTop="1" x14ac:dyDescent="0.25">
      <c r="B7" s="88"/>
      <c r="C7" s="89"/>
      <c r="D7" s="89"/>
      <c r="E7" s="90"/>
      <c r="F7" s="91"/>
      <c r="G7" s="92"/>
      <c r="H7" s="93"/>
      <c r="I7" s="93"/>
      <c r="J7" s="93"/>
      <c r="K7" s="92"/>
      <c r="L7" s="93"/>
      <c r="M7" s="93"/>
      <c r="N7" s="93"/>
      <c r="O7" s="93"/>
      <c r="P7" s="92"/>
      <c r="Q7" s="92"/>
      <c r="R7" s="94"/>
      <c r="S7" s="92"/>
      <c r="T7" s="92"/>
      <c r="U7" s="92"/>
      <c r="V7" s="92"/>
      <c r="W7" s="92"/>
      <c r="X7" s="92"/>
      <c r="Y7" s="92"/>
      <c r="Z7" s="92"/>
      <c r="AA7" s="95"/>
      <c r="AB7" s="96"/>
      <c r="AC7" s="97"/>
      <c r="AD7" s="92"/>
      <c r="AE7" s="98"/>
    </row>
    <row r="8" spans="2:74" x14ac:dyDescent="0.25">
      <c r="B8" s="99"/>
      <c r="C8" s="100"/>
      <c r="D8" s="100"/>
      <c r="E8" s="101"/>
      <c r="F8" s="102"/>
      <c r="G8" s="100"/>
      <c r="H8" s="103"/>
      <c r="I8" s="103"/>
      <c r="J8" s="103"/>
      <c r="K8" s="100"/>
      <c r="L8" s="103"/>
      <c r="M8" s="103"/>
      <c r="N8" s="103"/>
      <c r="O8" s="103"/>
      <c r="P8" s="100"/>
      <c r="Q8" s="100"/>
      <c r="R8" s="104"/>
      <c r="S8" s="100"/>
      <c r="T8" s="100"/>
      <c r="U8" s="100"/>
      <c r="V8" s="100"/>
      <c r="W8" s="100"/>
      <c r="X8" s="100"/>
      <c r="Y8" s="100"/>
      <c r="Z8" s="100"/>
      <c r="AA8" s="105"/>
      <c r="AB8" s="106"/>
      <c r="AC8" s="107"/>
      <c r="AD8" s="100"/>
      <c r="AE8" s="108"/>
    </row>
    <row r="9" spans="2:74" x14ac:dyDescent="0.25">
      <c r="B9" s="99"/>
      <c r="C9" s="100"/>
      <c r="D9" s="100"/>
      <c r="E9" s="101"/>
      <c r="F9" s="102"/>
      <c r="G9" s="100"/>
      <c r="H9" s="103"/>
      <c r="I9" s="103"/>
      <c r="J9" s="103"/>
      <c r="K9" s="100"/>
      <c r="L9" s="103"/>
      <c r="M9" s="103"/>
      <c r="N9" s="103"/>
      <c r="O9" s="103"/>
      <c r="P9" s="100"/>
      <c r="Q9" s="100"/>
      <c r="R9" s="104"/>
      <c r="S9" s="100"/>
      <c r="T9" s="100"/>
      <c r="U9" s="100"/>
      <c r="V9" s="100"/>
      <c r="W9" s="100"/>
      <c r="X9" s="100"/>
      <c r="Y9" s="100"/>
      <c r="Z9" s="100"/>
      <c r="AA9" s="105"/>
      <c r="AB9" s="106"/>
      <c r="AC9" s="107"/>
      <c r="AD9" s="100"/>
      <c r="AE9" s="108"/>
    </row>
    <row r="10" spans="2:74" x14ac:dyDescent="0.25">
      <c r="B10" s="99"/>
      <c r="C10" s="100"/>
      <c r="D10" s="100"/>
      <c r="E10" s="109"/>
      <c r="F10" s="110"/>
      <c r="G10" s="111"/>
      <c r="H10" s="112"/>
      <c r="I10" s="112"/>
      <c r="J10" s="112"/>
      <c r="K10" s="111"/>
      <c r="L10" s="112"/>
      <c r="M10" s="112"/>
      <c r="N10" s="112"/>
      <c r="O10" s="112"/>
      <c r="P10" s="111"/>
      <c r="Q10" s="111"/>
      <c r="R10" s="113"/>
      <c r="S10" s="111"/>
      <c r="T10" s="111"/>
      <c r="U10" s="111"/>
      <c r="V10" s="111"/>
      <c r="W10" s="111"/>
      <c r="X10" s="111"/>
      <c r="Y10" s="111"/>
      <c r="Z10" s="111"/>
      <c r="AA10" s="114"/>
      <c r="AB10" s="115"/>
      <c r="AC10" s="116"/>
      <c r="AD10" s="111"/>
      <c r="AE10" s="117"/>
    </row>
    <row r="11" spans="2:74" x14ac:dyDescent="0.25">
      <c r="B11" s="99">
        <v>1</v>
      </c>
      <c r="C11" s="100">
        <v>2</v>
      </c>
      <c r="D11" s="118">
        <v>3</v>
      </c>
      <c r="E11" s="1052">
        <v>4</v>
      </c>
      <c r="F11" s="1053"/>
      <c r="G11" s="1048">
        <v>5</v>
      </c>
      <c r="H11" s="1049"/>
      <c r="I11" s="1048">
        <v>6</v>
      </c>
      <c r="J11" s="1049"/>
      <c r="K11" s="1048">
        <v>7</v>
      </c>
      <c r="L11" s="1049"/>
      <c r="M11" s="1049"/>
      <c r="N11" s="1049"/>
      <c r="O11" s="1049"/>
      <c r="P11" s="1048">
        <v>8</v>
      </c>
      <c r="Q11" s="1049"/>
      <c r="R11" s="1048">
        <v>9</v>
      </c>
      <c r="S11" s="1049"/>
      <c r="T11" s="1048">
        <v>10</v>
      </c>
      <c r="U11" s="1049"/>
      <c r="V11" s="1048">
        <v>11</v>
      </c>
      <c r="W11" s="1049"/>
      <c r="X11" s="1047" t="s">
        <v>288</v>
      </c>
      <c r="Y11" s="1047"/>
      <c r="Z11" s="1047" t="s">
        <v>289</v>
      </c>
      <c r="AA11" s="1047"/>
      <c r="AB11" s="1058" t="s">
        <v>290</v>
      </c>
      <c r="AC11" s="1048"/>
      <c r="AD11" s="1047" t="s">
        <v>291</v>
      </c>
      <c r="AE11" s="1059"/>
    </row>
    <row r="12" spans="2:74" s="136" customFormat="1" ht="51" x14ac:dyDescent="0.25">
      <c r="B12" s="99"/>
      <c r="C12" s="100" t="s">
        <v>187</v>
      </c>
      <c r="D12" s="119" t="s">
        <v>292</v>
      </c>
      <c r="E12" s="120" t="s">
        <v>293</v>
      </c>
      <c r="F12" s="121" t="s">
        <v>94</v>
      </c>
      <c r="G12" s="122">
        <v>72</v>
      </c>
      <c r="H12" s="123">
        <v>7672000</v>
      </c>
      <c r="I12" s="124">
        <v>12</v>
      </c>
      <c r="J12" s="125">
        <f>'[1]TW empat'!$Z$12+'[2]RKPD TW IV PERBAIKAN'!$W$16+'[3]TW IV RIIL'!$X$12</f>
        <v>3709282.2290000003</v>
      </c>
      <c r="K12" s="126">
        <v>12</v>
      </c>
      <c r="L12" s="127">
        <f>SUM(L13:L19)</f>
        <v>1536511.55</v>
      </c>
      <c r="M12" s="126">
        <v>12</v>
      </c>
      <c r="N12" s="127">
        <f>SUM(N13:N19)</f>
        <v>1557362.75</v>
      </c>
      <c r="O12" s="127">
        <f>SUM(O13:O19)</f>
        <v>1431297.9650000001</v>
      </c>
      <c r="P12" s="128">
        <v>3</v>
      </c>
      <c r="Q12" s="129">
        <f>SUM(Q13:Q19)</f>
        <v>263360.21000000002</v>
      </c>
      <c r="R12" s="130">
        <v>3</v>
      </c>
      <c r="S12" s="129">
        <f>SUM(S13:S19)</f>
        <v>254572.658</v>
      </c>
      <c r="T12" s="130">
        <v>3</v>
      </c>
      <c r="U12" s="128">
        <f>SUM(U13:U19)</f>
        <v>271952.95600000001</v>
      </c>
      <c r="V12" s="130">
        <v>3</v>
      </c>
      <c r="W12" s="131">
        <f>SUM(W13:W19)</f>
        <v>482509.24100000004</v>
      </c>
      <c r="X12" s="128">
        <f t="shared" ref="X12:Y27" si="0">P12+R12+T12+V12</f>
        <v>12</v>
      </c>
      <c r="Y12" s="360">
        <f>Q12+S12+U12+W12</f>
        <v>1272395.0649999999</v>
      </c>
      <c r="Z12" s="132">
        <f t="shared" ref="Z12:Z20" si="1">X12/M12*100</f>
        <v>100</v>
      </c>
      <c r="AA12" s="133">
        <f t="shared" ref="AA12:AA20" si="2">Y12/O12*100</f>
        <v>88.897986031860242</v>
      </c>
      <c r="AB12" s="134">
        <f>I12+X12</f>
        <v>24</v>
      </c>
      <c r="AC12" s="125">
        <f>J12+Y12</f>
        <v>4981677.2939999998</v>
      </c>
      <c r="AD12" s="132">
        <f>AB12/G12*100</f>
        <v>33.333333333333329</v>
      </c>
      <c r="AE12" s="135">
        <f>AC12/H12*100</f>
        <v>64.933228545359739</v>
      </c>
    </row>
    <row r="13" spans="2:74" ht="38.25" x14ac:dyDescent="0.25">
      <c r="B13" s="137">
        <v>1</v>
      </c>
      <c r="C13" s="7" t="s">
        <v>199</v>
      </c>
      <c r="D13" s="138" t="s">
        <v>294</v>
      </c>
      <c r="E13" s="139" t="s">
        <v>295</v>
      </c>
      <c r="F13" s="140" t="s">
        <v>94</v>
      </c>
      <c r="G13" s="141"/>
      <c r="H13" s="142"/>
      <c r="I13" s="143"/>
      <c r="J13" s="144"/>
      <c r="K13" s="145">
        <v>12</v>
      </c>
      <c r="L13" s="146">
        <v>140000</v>
      </c>
      <c r="M13" s="145">
        <v>12</v>
      </c>
      <c r="N13" s="146">
        <v>140000</v>
      </c>
      <c r="O13" s="146">
        <v>129600</v>
      </c>
      <c r="P13" s="147">
        <v>3</v>
      </c>
      <c r="Q13" s="148">
        <v>23613.587</v>
      </c>
      <c r="R13" s="147">
        <v>3</v>
      </c>
      <c r="S13" s="149">
        <v>16135.692999999999</v>
      </c>
      <c r="T13" s="147">
        <v>3</v>
      </c>
      <c r="U13" s="149">
        <v>26218.222000000002</v>
      </c>
      <c r="V13" s="147">
        <v>3</v>
      </c>
      <c r="W13" s="150">
        <v>21457.48</v>
      </c>
      <c r="X13" s="147">
        <f t="shared" si="0"/>
        <v>12</v>
      </c>
      <c r="Y13" s="361">
        <f t="shared" si="0"/>
        <v>87424.982000000004</v>
      </c>
      <c r="Z13" s="151">
        <f t="shared" si="1"/>
        <v>100</v>
      </c>
      <c r="AA13" s="152">
        <f t="shared" si="2"/>
        <v>67.457547839506177</v>
      </c>
      <c r="AB13" s="153">
        <f t="shared" ref="AB13:AB29" si="3">I13+X13</f>
        <v>12</v>
      </c>
      <c r="AC13" s="154"/>
      <c r="AD13" s="155"/>
      <c r="AE13" s="156"/>
    </row>
    <row r="14" spans="2:74" ht="38.25" x14ac:dyDescent="0.25">
      <c r="B14" s="137">
        <v>2</v>
      </c>
      <c r="C14" s="7" t="s">
        <v>200</v>
      </c>
      <c r="D14" s="138" t="s">
        <v>296</v>
      </c>
      <c r="E14" s="139" t="s">
        <v>297</v>
      </c>
      <c r="F14" s="140" t="s">
        <v>94</v>
      </c>
      <c r="G14" s="141"/>
      <c r="H14" s="142"/>
      <c r="I14" s="143"/>
      <c r="J14" s="144"/>
      <c r="K14" s="145">
        <v>12</v>
      </c>
      <c r="L14" s="146">
        <v>449880</v>
      </c>
      <c r="M14" s="145">
        <v>12</v>
      </c>
      <c r="N14" s="146">
        <v>470731.2</v>
      </c>
      <c r="O14" s="146">
        <v>436450.16499999998</v>
      </c>
      <c r="P14" s="147">
        <v>3</v>
      </c>
      <c r="Q14" s="148">
        <v>65254.330999999998</v>
      </c>
      <c r="R14" s="147">
        <v>3</v>
      </c>
      <c r="S14" s="149">
        <v>112662.29700000001</v>
      </c>
      <c r="T14" s="147">
        <v>3</v>
      </c>
      <c r="U14" s="149">
        <v>96977.463000000003</v>
      </c>
      <c r="V14" s="147">
        <v>3</v>
      </c>
      <c r="W14" s="150">
        <v>148512.98300000001</v>
      </c>
      <c r="X14" s="147">
        <f t="shared" si="0"/>
        <v>12</v>
      </c>
      <c r="Y14" s="361">
        <f t="shared" si="0"/>
        <v>423407.07400000002</v>
      </c>
      <c r="Z14" s="151">
        <f t="shared" si="1"/>
        <v>100</v>
      </c>
      <c r="AA14" s="152">
        <f t="shared" si="2"/>
        <v>97.011550906390426</v>
      </c>
      <c r="AB14" s="153">
        <f t="shared" si="3"/>
        <v>12</v>
      </c>
      <c r="AC14" s="154"/>
      <c r="AD14" s="155"/>
      <c r="AE14" s="156"/>
    </row>
    <row r="15" spans="2:74" ht="25.5" x14ac:dyDescent="0.25">
      <c r="B15" s="137">
        <v>3</v>
      </c>
      <c r="C15" s="7" t="s">
        <v>202</v>
      </c>
      <c r="D15" s="138" t="s">
        <v>298</v>
      </c>
      <c r="E15" s="139" t="s">
        <v>299</v>
      </c>
      <c r="F15" s="140" t="s">
        <v>94</v>
      </c>
      <c r="G15" s="141"/>
      <c r="H15" s="142"/>
      <c r="I15" s="143"/>
      <c r="J15" s="144"/>
      <c r="K15" s="145">
        <v>12</v>
      </c>
      <c r="L15" s="146">
        <v>34099.75</v>
      </c>
      <c r="M15" s="145">
        <v>12</v>
      </c>
      <c r="N15" s="146">
        <v>34099.75</v>
      </c>
      <c r="O15" s="146">
        <v>21500</v>
      </c>
      <c r="P15" s="147">
        <v>3</v>
      </c>
      <c r="Q15" s="148">
        <v>8502.5</v>
      </c>
      <c r="R15" s="147">
        <v>3</v>
      </c>
      <c r="S15" s="149">
        <v>3819</v>
      </c>
      <c r="T15" s="147">
        <v>3</v>
      </c>
      <c r="U15" s="149">
        <v>3850.5</v>
      </c>
      <c r="V15" s="147">
        <v>3</v>
      </c>
      <c r="W15" s="150">
        <v>5327.5</v>
      </c>
      <c r="X15" s="147">
        <f t="shared" si="0"/>
        <v>12</v>
      </c>
      <c r="Y15" s="361">
        <f t="shared" si="0"/>
        <v>21499.5</v>
      </c>
      <c r="Z15" s="151">
        <f t="shared" si="1"/>
        <v>100</v>
      </c>
      <c r="AA15" s="152">
        <f t="shared" si="2"/>
        <v>99.99767441860466</v>
      </c>
      <c r="AB15" s="153">
        <f t="shared" si="3"/>
        <v>12</v>
      </c>
      <c r="AC15" s="154"/>
      <c r="AD15" s="155"/>
      <c r="AE15" s="156"/>
    </row>
    <row r="16" spans="2:74" ht="38.25" x14ac:dyDescent="0.25">
      <c r="B16" s="137">
        <v>4</v>
      </c>
      <c r="C16" s="7" t="s">
        <v>206</v>
      </c>
      <c r="D16" s="138" t="s">
        <v>300</v>
      </c>
      <c r="E16" s="139" t="s">
        <v>301</v>
      </c>
      <c r="F16" s="140" t="s">
        <v>94</v>
      </c>
      <c r="G16" s="141"/>
      <c r="H16" s="142"/>
      <c r="I16" s="143"/>
      <c r="J16" s="144"/>
      <c r="K16" s="145">
        <v>12</v>
      </c>
      <c r="L16" s="146">
        <v>35000</v>
      </c>
      <c r="M16" s="145">
        <v>12</v>
      </c>
      <c r="N16" s="146">
        <v>35000</v>
      </c>
      <c r="O16" s="146">
        <v>112165</v>
      </c>
      <c r="P16" s="147">
        <v>3</v>
      </c>
      <c r="Q16" s="148">
        <v>8721.82</v>
      </c>
      <c r="R16" s="147">
        <v>3</v>
      </c>
      <c r="S16" s="149">
        <v>2106.02</v>
      </c>
      <c r="T16" s="147">
        <v>3</v>
      </c>
      <c r="U16" s="149">
        <v>31969.86</v>
      </c>
      <c r="V16" s="147">
        <v>3</v>
      </c>
      <c r="W16" s="150">
        <v>2687.6</v>
      </c>
      <c r="X16" s="147">
        <f t="shared" si="0"/>
        <v>12</v>
      </c>
      <c r="Y16" s="361">
        <f t="shared" si="0"/>
        <v>45485.299999999996</v>
      </c>
      <c r="Z16" s="151">
        <f t="shared" si="1"/>
        <v>100</v>
      </c>
      <c r="AA16" s="152">
        <f t="shared" si="2"/>
        <v>40.552133018321221</v>
      </c>
      <c r="AB16" s="153">
        <f t="shared" si="3"/>
        <v>12</v>
      </c>
      <c r="AC16" s="154"/>
      <c r="AD16" s="155"/>
      <c r="AE16" s="156"/>
    </row>
    <row r="17" spans="2:32" ht="38.25" x14ac:dyDescent="0.25">
      <c r="B17" s="137">
        <v>5</v>
      </c>
      <c r="C17" s="7" t="s">
        <v>203</v>
      </c>
      <c r="D17" s="138" t="s">
        <v>302</v>
      </c>
      <c r="E17" s="139" t="s">
        <v>303</v>
      </c>
      <c r="F17" s="140" t="s">
        <v>94</v>
      </c>
      <c r="G17" s="141"/>
      <c r="H17" s="142"/>
      <c r="I17" s="143"/>
      <c r="J17" s="144"/>
      <c r="K17" s="145">
        <v>12</v>
      </c>
      <c r="L17" s="146">
        <v>42101.8</v>
      </c>
      <c r="M17" s="145">
        <v>12</v>
      </c>
      <c r="N17" s="146">
        <v>42101.8</v>
      </c>
      <c r="O17" s="146">
        <v>44601.8</v>
      </c>
      <c r="P17" s="147">
        <v>3</v>
      </c>
      <c r="Q17" s="148">
        <v>3228.5</v>
      </c>
      <c r="R17" s="147">
        <v>3</v>
      </c>
      <c r="S17" s="149">
        <v>10551</v>
      </c>
      <c r="T17" s="147">
        <v>3</v>
      </c>
      <c r="U17" s="149">
        <v>13741.5</v>
      </c>
      <c r="V17" s="147">
        <v>3</v>
      </c>
      <c r="W17" s="150">
        <v>16040.5</v>
      </c>
      <c r="X17" s="147">
        <f t="shared" si="0"/>
        <v>12</v>
      </c>
      <c r="Y17" s="361">
        <f t="shared" si="0"/>
        <v>43561.5</v>
      </c>
      <c r="Z17" s="151">
        <f t="shared" si="1"/>
        <v>100</v>
      </c>
      <c r="AA17" s="152">
        <f t="shared" si="2"/>
        <v>97.667582922662305</v>
      </c>
      <c r="AB17" s="153">
        <f t="shared" si="3"/>
        <v>12</v>
      </c>
      <c r="AC17" s="154"/>
      <c r="AD17" s="155"/>
      <c r="AE17" s="156"/>
      <c r="AF17" s="362"/>
    </row>
    <row r="18" spans="2:32" ht="38.25" x14ac:dyDescent="0.25">
      <c r="B18" s="137">
        <v>6</v>
      </c>
      <c r="C18" s="7" t="s">
        <v>204</v>
      </c>
      <c r="D18" s="138" t="s">
        <v>304</v>
      </c>
      <c r="E18" s="139" t="s">
        <v>305</v>
      </c>
      <c r="F18" s="140" t="s">
        <v>94</v>
      </c>
      <c r="G18" s="141"/>
      <c r="H18" s="142"/>
      <c r="I18" s="143"/>
      <c r="J18" s="144"/>
      <c r="K18" s="145">
        <v>12</v>
      </c>
      <c r="L18" s="146">
        <v>135432</v>
      </c>
      <c r="M18" s="145">
        <v>12</v>
      </c>
      <c r="N18" s="146">
        <v>135432</v>
      </c>
      <c r="O18" s="146">
        <v>197181</v>
      </c>
      <c r="P18" s="147">
        <v>3</v>
      </c>
      <c r="Q18" s="148">
        <v>34239</v>
      </c>
      <c r="R18" s="147">
        <v>3</v>
      </c>
      <c r="S18" s="149">
        <v>30034.12</v>
      </c>
      <c r="T18" s="147">
        <v>3</v>
      </c>
      <c r="U18" s="149">
        <v>23259.68</v>
      </c>
      <c r="V18" s="147">
        <v>3</v>
      </c>
      <c r="W18" s="150">
        <v>73958.428</v>
      </c>
      <c r="X18" s="147">
        <f t="shared" si="0"/>
        <v>12</v>
      </c>
      <c r="Y18" s="361">
        <f t="shared" si="0"/>
        <v>161491.228</v>
      </c>
      <c r="Z18" s="151">
        <f t="shared" si="1"/>
        <v>100</v>
      </c>
      <c r="AA18" s="152">
        <f t="shared" si="2"/>
        <v>81.8999944213692</v>
      </c>
      <c r="AB18" s="153">
        <f t="shared" si="3"/>
        <v>12</v>
      </c>
      <c r="AC18" s="154"/>
      <c r="AD18" s="155"/>
      <c r="AE18" s="156"/>
      <c r="AF18" s="363"/>
    </row>
    <row r="19" spans="2:32" ht="51" x14ac:dyDescent="0.25">
      <c r="B19" s="137">
        <v>7</v>
      </c>
      <c r="C19" s="7" t="s">
        <v>205</v>
      </c>
      <c r="D19" s="138" t="s">
        <v>306</v>
      </c>
      <c r="E19" s="139" t="s">
        <v>307</v>
      </c>
      <c r="F19" s="140" t="s">
        <v>94</v>
      </c>
      <c r="G19" s="141"/>
      <c r="H19" s="142"/>
      <c r="I19" s="143"/>
      <c r="J19" s="144"/>
      <c r="K19" s="145">
        <v>12</v>
      </c>
      <c r="L19" s="146">
        <v>699998</v>
      </c>
      <c r="M19" s="145">
        <v>12</v>
      </c>
      <c r="N19" s="146">
        <v>699998</v>
      </c>
      <c r="O19" s="146">
        <v>489800</v>
      </c>
      <c r="P19" s="147">
        <v>3</v>
      </c>
      <c r="Q19" s="148">
        <v>119800.47199999999</v>
      </c>
      <c r="R19" s="147">
        <v>3</v>
      </c>
      <c r="S19" s="149">
        <v>79264.528000000006</v>
      </c>
      <c r="T19" s="147">
        <v>3</v>
      </c>
      <c r="U19" s="149">
        <v>75935.731</v>
      </c>
      <c r="V19" s="147">
        <v>3</v>
      </c>
      <c r="W19" s="150">
        <v>214524.75</v>
      </c>
      <c r="X19" s="147">
        <f t="shared" si="0"/>
        <v>12</v>
      </c>
      <c r="Y19" s="361">
        <f t="shared" si="0"/>
        <v>489525.48100000003</v>
      </c>
      <c r="Z19" s="151">
        <f t="shared" si="1"/>
        <v>100</v>
      </c>
      <c r="AA19" s="152">
        <f t="shared" si="2"/>
        <v>99.943952837893022</v>
      </c>
      <c r="AB19" s="153">
        <f t="shared" si="3"/>
        <v>12</v>
      </c>
      <c r="AC19" s="154"/>
      <c r="AD19" s="155"/>
      <c r="AE19" s="156"/>
      <c r="AF19" s="362"/>
    </row>
    <row r="20" spans="2:32" s="136" customFormat="1" ht="51" x14ac:dyDescent="0.25">
      <c r="B20" s="157"/>
      <c r="C20" s="100" t="s">
        <v>201</v>
      </c>
      <c r="D20" s="158" t="s">
        <v>308</v>
      </c>
      <c r="E20" s="159" t="s">
        <v>309</v>
      </c>
      <c r="F20" s="160" t="s">
        <v>93</v>
      </c>
      <c r="G20" s="161">
        <v>100</v>
      </c>
      <c r="H20" s="162">
        <v>3570750</v>
      </c>
      <c r="I20" s="163">
        <v>100</v>
      </c>
      <c r="J20" s="164">
        <f>'[1]TW empat'!$Z$20+'[2]RKPD TW IV PERBAIKAN'!$W$24+'[3]TW IV RIIL'!$X$20</f>
        <v>1076320.5669999998</v>
      </c>
      <c r="K20" s="165">
        <v>100</v>
      </c>
      <c r="L20" s="166">
        <f>SUM(L21:L25)</f>
        <v>555081.32999999996</v>
      </c>
      <c r="M20" s="165">
        <v>100</v>
      </c>
      <c r="N20" s="166">
        <f>SUM(N21:N25)</f>
        <v>386600.73</v>
      </c>
      <c r="O20" s="166">
        <f>SUM(O21:O25)</f>
        <v>249332.25999999998</v>
      </c>
      <c r="P20" s="167">
        <v>25</v>
      </c>
      <c r="Q20" s="166">
        <f>SUM(Q21:Q25)</f>
        <v>60611.01</v>
      </c>
      <c r="R20" s="167">
        <v>25</v>
      </c>
      <c r="S20" s="166">
        <f>SUM(S21:S25)</f>
        <v>39481.25</v>
      </c>
      <c r="T20" s="167">
        <v>25</v>
      </c>
      <c r="U20" s="167">
        <f>SUM(U21:U25)</f>
        <v>59687.527000000002</v>
      </c>
      <c r="V20" s="167">
        <v>25</v>
      </c>
      <c r="W20" s="167">
        <f>SUM(W21:W25)</f>
        <v>86506.20199999999</v>
      </c>
      <c r="X20" s="168">
        <f t="shared" si="0"/>
        <v>100</v>
      </c>
      <c r="Y20" s="282">
        <f>Q20+S20+U20+W20</f>
        <v>246285.989</v>
      </c>
      <c r="Z20" s="132">
        <f t="shared" si="1"/>
        <v>100</v>
      </c>
      <c r="AA20" s="169">
        <f t="shared" si="2"/>
        <v>98.778228296651221</v>
      </c>
      <c r="AB20" s="170">
        <f>I20+X20</f>
        <v>200</v>
      </c>
      <c r="AC20" s="125">
        <f>J20+Y20</f>
        <v>1322606.5559999999</v>
      </c>
      <c r="AD20" s="171">
        <f>AB20/G20*100</f>
        <v>200</v>
      </c>
      <c r="AE20" s="172">
        <f>AC20/H20*100</f>
        <v>37.040021172022684</v>
      </c>
    </row>
    <row r="21" spans="2:32" ht="38.25" x14ac:dyDescent="0.25">
      <c r="B21" s="137">
        <v>8</v>
      </c>
      <c r="C21" s="7" t="s">
        <v>227</v>
      </c>
      <c r="D21" s="138" t="s">
        <v>310</v>
      </c>
      <c r="E21" s="139" t="s">
        <v>103</v>
      </c>
      <c r="F21" s="140" t="s">
        <v>101</v>
      </c>
      <c r="G21" s="141"/>
      <c r="H21" s="142"/>
      <c r="I21" s="143"/>
      <c r="J21" s="144"/>
      <c r="K21" s="145">
        <v>9</v>
      </c>
      <c r="L21" s="146">
        <v>112225</v>
      </c>
      <c r="M21" s="145">
        <v>9</v>
      </c>
      <c r="N21" s="146">
        <v>0</v>
      </c>
      <c r="O21" s="146">
        <v>0</v>
      </c>
      <c r="P21" s="173"/>
      <c r="Q21" s="174">
        <v>0</v>
      </c>
      <c r="R21" s="174"/>
      <c r="S21" s="174">
        <v>0</v>
      </c>
      <c r="T21" s="174"/>
      <c r="U21" s="175">
        <v>0</v>
      </c>
      <c r="V21" s="174"/>
      <c r="W21" s="174">
        <v>0</v>
      </c>
      <c r="X21" s="147">
        <f t="shared" si="0"/>
        <v>0</v>
      </c>
      <c r="Y21" s="364">
        <f t="shared" si="0"/>
        <v>0</v>
      </c>
      <c r="Z21" s="176"/>
      <c r="AA21" s="152"/>
      <c r="AB21" s="153">
        <f t="shared" si="3"/>
        <v>0</v>
      </c>
      <c r="AC21" s="154"/>
      <c r="AD21" s="155"/>
      <c r="AE21" s="156"/>
    </row>
    <row r="22" spans="2:32" ht="25.5" x14ac:dyDescent="0.25">
      <c r="B22" s="137">
        <v>9</v>
      </c>
      <c r="C22" s="7" t="s">
        <v>226</v>
      </c>
      <c r="D22" s="138" t="s">
        <v>311</v>
      </c>
      <c r="E22" s="139" t="s">
        <v>312</v>
      </c>
      <c r="F22" s="140" t="s">
        <v>101</v>
      </c>
      <c r="G22" s="141"/>
      <c r="H22" s="142"/>
      <c r="I22" s="143"/>
      <c r="J22" s="144"/>
      <c r="K22" s="145">
        <v>18</v>
      </c>
      <c r="L22" s="146">
        <v>56255.6</v>
      </c>
      <c r="M22" s="145">
        <v>18</v>
      </c>
      <c r="N22" s="146">
        <v>0</v>
      </c>
      <c r="O22" s="146">
        <v>0</v>
      </c>
      <c r="P22" s="173"/>
      <c r="Q22" s="148">
        <v>0</v>
      </c>
      <c r="R22" s="148"/>
      <c r="S22" s="174">
        <v>0</v>
      </c>
      <c r="T22" s="148"/>
      <c r="U22" s="149">
        <v>0</v>
      </c>
      <c r="V22" s="148"/>
      <c r="W22" s="150">
        <v>0</v>
      </c>
      <c r="X22" s="147">
        <f t="shared" si="0"/>
        <v>0</v>
      </c>
      <c r="Y22" s="364">
        <f t="shared" si="0"/>
        <v>0</v>
      </c>
      <c r="Z22" s="176"/>
      <c r="AA22" s="152"/>
      <c r="AB22" s="153">
        <f t="shared" si="3"/>
        <v>0</v>
      </c>
      <c r="AC22" s="154"/>
      <c r="AD22" s="155"/>
      <c r="AE22" s="156"/>
    </row>
    <row r="23" spans="2:32" ht="38.25" x14ac:dyDescent="0.25">
      <c r="B23" s="137">
        <v>10</v>
      </c>
      <c r="C23" s="7" t="s">
        <v>208</v>
      </c>
      <c r="D23" s="138" t="s">
        <v>313</v>
      </c>
      <c r="E23" s="139" t="s">
        <v>314</v>
      </c>
      <c r="F23" s="140" t="s">
        <v>94</v>
      </c>
      <c r="G23" s="141"/>
      <c r="H23" s="142"/>
      <c r="I23" s="143"/>
      <c r="J23" s="144"/>
      <c r="K23" s="145">
        <v>12</v>
      </c>
      <c r="L23" s="146">
        <v>34729.519999999997</v>
      </c>
      <c r="M23" s="145">
        <v>12</v>
      </c>
      <c r="N23" s="146">
        <v>34729.519999999997</v>
      </c>
      <c r="O23" s="146">
        <v>64729.52</v>
      </c>
      <c r="P23" s="173">
        <v>3</v>
      </c>
      <c r="Q23" s="148">
        <v>19899</v>
      </c>
      <c r="R23" s="150">
        <v>3</v>
      </c>
      <c r="S23" s="149">
        <v>10672</v>
      </c>
      <c r="T23" s="150">
        <v>3</v>
      </c>
      <c r="U23" s="149">
        <v>4085</v>
      </c>
      <c r="V23" s="150">
        <v>3</v>
      </c>
      <c r="W23" s="150">
        <v>29922</v>
      </c>
      <c r="X23" s="147">
        <f t="shared" si="0"/>
        <v>12</v>
      </c>
      <c r="Y23" s="364">
        <f t="shared" si="0"/>
        <v>64578</v>
      </c>
      <c r="Z23" s="151">
        <f>X23/M23*100</f>
        <v>100</v>
      </c>
      <c r="AA23" s="152">
        <f>Y23/O23*100</f>
        <v>99.765918239467865</v>
      </c>
      <c r="AB23" s="153">
        <f t="shared" si="3"/>
        <v>12</v>
      </c>
      <c r="AC23" s="154"/>
      <c r="AD23" s="155"/>
      <c r="AE23" s="156"/>
    </row>
    <row r="24" spans="2:32" ht="38.25" x14ac:dyDescent="0.25">
      <c r="B24" s="137">
        <v>11</v>
      </c>
      <c r="C24" s="7" t="s">
        <v>207</v>
      </c>
      <c r="D24" s="138" t="s">
        <v>315</v>
      </c>
      <c r="E24" s="139" t="s">
        <v>106</v>
      </c>
      <c r="F24" s="140" t="s">
        <v>94</v>
      </c>
      <c r="G24" s="141"/>
      <c r="H24" s="142"/>
      <c r="I24" s="143"/>
      <c r="J24" s="144"/>
      <c r="K24" s="145">
        <v>12</v>
      </c>
      <c r="L24" s="146">
        <v>167707</v>
      </c>
      <c r="M24" s="145">
        <v>12</v>
      </c>
      <c r="N24" s="146">
        <v>167707</v>
      </c>
      <c r="O24" s="146">
        <v>169057</v>
      </c>
      <c r="P24" s="173">
        <v>3</v>
      </c>
      <c r="Q24" s="148">
        <v>33387.01</v>
      </c>
      <c r="R24" s="150">
        <v>3</v>
      </c>
      <c r="S24" s="149">
        <v>28809.25</v>
      </c>
      <c r="T24" s="150">
        <v>3</v>
      </c>
      <c r="U24" s="149">
        <v>51302.527000000002</v>
      </c>
      <c r="V24" s="150">
        <v>3</v>
      </c>
      <c r="W24" s="150">
        <v>52704.201999999997</v>
      </c>
      <c r="X24" s="147">
        <f t="shared" si="0"/>
        <v>12</v>
      </c>
      <c r="Y24" s="364">
        <f t="shared" si="0"/>
        <v>166202.989</v>
      </c>
      <c r="Z24" s="151">
        <f>X24/M24*100</f>
        <v>100</v>
      </c>
      <c r="AA24" s="152">
        <f>Y24/O24*100</f>
        <v>98.311805485723752</v>
      </c>
      <c r="AB24" s="153">
        <f t="shared" si="3"/>
        <v>12</v>
      </c>
      <c r="AC24" s="154"/>
      <c r="AD24" s="155"/>
      <c r="AE24" s="156"/>
    </row>
    <row r="25" spans="2:32" ht="38.25" x14ac:dyDescent="0.25">
      <c r="B25" s="137">
        <v>12</v>
      </c>
      <c r="C25" s="7" t="s">
        <v>209</v>
      </c>
      <c r="D25" s="138" t="s">
        <v>316</v>
      </c>
      <c r="E25" s="139" t="s">
        <v>317</v>
      </c>
      <c r="F25" s="140" t="s">
        <v>94</v>
      </c>
      <c r="G25" s="141"/>
      <c r="H25" s="142"/>
      <c r="I25" s="28"/>
      <c r="J25" s="177"/>
      <c r="K25" s="145">
        <v>12</v>
      </c>
      <c r="L25" s="146">
        <v>184164.21</v>
      </c>
      <c r="M25" s="145">
        <v>12</v>
      </c>
      <c r="N25" s="146">
        <v>184164.21</v>
      </c>
      <c r="O25" s="146">
        <v>15545.74</v>
      </c>
      <c r="P25" s="173">
        <v>3</v>
      </c>
      <c r="Q25" s="178">
        <v>7325</v>
      </c>
      <c r="R25" s="179">
        <v>3</v>
      </c>
      <c r="S25" s="180">
        <v>0</v>
      </c>
      <c r="T25" s="179">
        <v>3</v>
      </c>
      <c r="U25" s="180">
        <v>4300</v>
      </c>
      <c r="V25" s="179">
        <v>3</v>
      </c>
      <c r="W25" s="180">
        <v>3880</v>
      </c>
      <c r="X25" s="147">
        <f t="shared" si="0"/>
        <v>12</v>
      </c>
      <c r="Y25" s="364">
        <f t="shared" si="0"/>
        <v>15505</v>
      </c>
      <c r="Z25" s="181">
        <f>X25/M25*100</f>
        <v>100</v>
      </c>
      <c r="AA25" s="152">
        <f>Y25/O25*100</f>
        <v>99.737934636755796</v>
      </c>
      <c r="AB25" s="153">
        <f t="shared" si="3"/>
        <v>12</v>
      </c>
      <c r="AC25" s="154"/>
      <c r="AD25" s="155"/>
      <c r="AE25" s="156"/>
    </row>
    <row r="26" spans="2:32" s="136" customFormat="1" ht="38.25" x14ac:dyDescent="0.25">
      <c r="B26" s="99"/>
      <c r="C26" s="100" t="s">
        <v>222</v>
      </c>
      <c r="D26" s="119" t="s">
        <v>318</v>
      </c>
      <c r="E26" s="182" t="s">
        <v>319</v>
      </c>
      <c r="F26" s="160" t="s">
        <v>320</v>
      </c>
      <c r="G26" s="183">
        <v>285</v>
      </c>
      <c r="H26" s="162">
        <v>221500</v>
      </c>
      <c r="I26" s="103">
        <v>95</v>
      </c>
      <c r="J26" s="184">
        <f>'[2]RKPD TW IV PERBAIKAN'!$W$30+'[3]TW IV RIIL'!$X$27</f>
        <v>77315</v>
      </c>
      <c r="K26" s="185">
        <f t="shared" ref="K26:V26" si="4">K27</f>
        <v>60</v>
      </c>
      <c r="L26" s="185">
        <f t="shared" si="4"/>
        <v>27500</v>
      </c>
      <c r="M26" s="185">
        <f t="shared" si="4"/>
        <v>0</v>
      </c>
      <c r="N26" s="185">
        <f t="shared" si="4"/>
        <v>0</v>
      </c>
      <c r="O26" s="185">
        <f t="shared" si="4"/>
        <v>0</v>
      </c>
      <c r="P26" s="103">
        <f t="shared" si="4"/>
        <v>0</v>
      </c>
      <c r="Q26" s="103">
        <f t="shared" si="4"/>
        <v>0</v>
      </c>
      <c r="R26" s="103">
        <f t="shared" si="4"/>
        <v>0</v>
      </c>
      <c r="S26" s="103">
        <f t="shared" si="4"/>
        <v>0</v>
      </c>
      <c r="T26" s="103">
        <f t="shared" si="4"/>
        <v>0</v>
      </c>
      <c r="U26" s="186">
        <f>U27</f>
        <v>0</v>
      </c>
      <c r="V26" s="103">
        <f t="shared" si="4"/>
        <v>0</v>
      </c>
      <c r="W26" s="187">
        <f>W27</f>
        <v>0</v>
      </c>
      <c r="X26" s="168">
        <f t="shared" si="0"/>
        <v>0</v>
      </c>
      <c r="Y26" s="282">
        <f t="shared" si="0"/>
        <v>0</v>
      </c>
      <c r="Z26" s="171"/>
      <c r="AA26" s="169">
        <v>0</v>
      </c>
      <c r="AB26" s="170">
        <f t="shared" si="3"/>
        <v>95</v>
      </c>
      <c r="AC26" s="125">
        <f>J26+Y26</f>
        <v>77315</v>
      </c>
      <c r="AD26" s="171">
        <f>AB26/G26*100</f>
        <v>33.333333333333329</v>
      </c>
      <c r="AE26" s="172">
        <f>AC26/H26*100</f>
        <v>34.905191873589168</v>
      </c>
    </row>
    <row r="27" spans="2:32" ht="38.25" x14ac:dyDescent="0.25">
      <c r="B27" s="137">
        <v>13</v>
      </c>
      <c r="C27" s="7" t="s">
        <v>223</v>
      </c>
      <c r="D27" s="138" t="s">
        <v>321</v>
      </c>
      <c r="E27" s="139" t="s">
        <v>90</v>
      </c>
      <c r="F27" s="140" t="s">
        <v>195</v>
      </c>
      <c r="G27" s="141"/>
      <c r="H27" s="142"/>
      <c r="I27" s="28"/>
      <c r="J27" s="177"/>
      <c r="K27" s="145">
        <v>60</v>
      </c>
      <c r="L27" s="146">
        <v>27500</v>
      </c>
      <c r="M27" s="145">
        <v>0</v>
      </c>
      <c r="N27" s="146">
        <v>0</v>
      </c>
      <c r="O27" s="146">
        <v>0</v>
      </c>
      <c r="P27" s="178">
        <v>0</v>
      </c>
      <c r="Q27" s="178">
        <v>0</v>
      </c>
      <c r="R27" s="180">
        <v>0</v>
      </c>
      <c r="S27" s="180">
        <v>0</v>
      </c>
      <c r="T27" s="180">
        <v>0</v>
      </c>
      <c r="U27" s="179">
        <v>0</v>
      </c>
      <c r="V27" s="180">
        <v>0</v>
      </c>
      <c r="W27" s="180">
        <v>0</v>
      </c>
      <c r="X27" s="147">
        <f t="shared" si="0"/>
        <v>0</v>
      </c>
      <c r="Y27" s="364">
        <f t="shared" si="0"/>
        <v>0</v>
      </c>
      <c r="Z27" s="151">
        <v>0</v>
      </c>
      <c r="AA27" s="152">
        <v>0</v>
      </c>
      <c r="AB27" s="153">
        <f t="shared" si="3"/>
        <v>0</v>
      </c>
      <c r="AC27" s="154"/>
      <c r="AD27" s="155"/>
      <c r="AE27" s="156"/>
    </row>
    <row r="28" spans="2:32" ht="51" x14ac:dyDescent="0.25">
      <c r="B28" s="99"/>
      <c r="C28" s="100" t="s">
        <v>224</v>
      </c>
      <c r="D28" s="119" t="s">
        <v>322</v>
      </c>
      <c r="E28" s="188" t="s">
        <v>323</v>
      </c>
      <c r="F28" s="189" t="s">
        <v>93</v>
      </c>
      <c r="G28" s="190">
        <v>60</v>
      </c>
      <c r="H28" s="167">
        <v>265000</v>
      </c>
      <c r="I28" s="191">
        <v>20</v>
      </c>
      <c r="J28" s="184">
        <f>'[2]RKPD TW IV PERBAIKAN'!$W$32+'[3]TW IV RIIL'!$X$29</f>
        <v>47500</v>
      </c>
      <c r="K28" s="103">
        <v>40</v>
      </c>
      <c r="L28" s="167">
        <f>SUM(L29)</f>
        <v>25000</v>
      </c>
      <c r="M28" s="103">
        <v>40</v>
      </c>
      <c r="N28" s="167">
        <f>SUM(N29)</f>
        <v>25000</v>
      </c>
      <c r="O28" s="167">
        <f>SUM(O29)</f>
        <v>0</v>
      </c>
      <c r="P28" s="192">
        <f t="shared" ref="P28:W28" si="5">P29</f>
        <v>0</v>
      </c>
      <c r="Q28" s="192">
        <f t="shared" si="5"/>
        <v>0</v>
      </c>
      <c r="R28" s="192">
        <f t="shared" si="5"/>
        <v>0</v>
      </c>
      <c r="S28" s="192">
        <f t="shared" si="5"/>
        <v>0</v>
      </c>
      <c r="T28" s="192">
        <f t="shared" si="5"/>
        <v>0</v>
      </c>
      <c r="U28" s="193">
        <f t="shared" si="5"/>
        <v>0</v>
      </c>
      <c r="V28" s="192">
        <f t="shared" si="5"/>
        <v>0</v>
      </c>
      <c r="W28" s="194">
        <f t="shared" si="5"/>
        <v>0</v>
      </c>
      <c r="X28" s="168">
        <f>P28+R28+T28+V28</f>
        <v>0</v>
      </c>
      <c r="Y28" s="282">
        <f>Y29</f>
        <v>0</v>
      </c>
      <c r="Z28" s="132">
        <f>X28/M28*100</f>
        <v>0</v>
      </c>
      <c r="AA28" s="169">
        <v>0</v>
      </c>
      <c r="AB28" s="170">
        <f t="shared" si="3"/>
        <v>20</v>
      </c>
      <c r="AC28" s="125">
        <f>J28+Y28</f>
        <v>47500</v>
      </c>
      <c r="AD28" s="195">
        <f>AB28/G28*100</f>
        <v>33.333333333333329</v>
      </c>
      <c r="AE28" s="172">
        <f>AC28/H28*100</f>
        <v>17.924528301886792</v>
      </c>
    </row>
    <row r="29" spans="2:32" ht="25.5" x14ac:dyDescent="0.25">
      <c r="B29" s="137">
        <v>14</v>
      </c>
      <c r="C29" s="7" t="s">
        <v>225</v>
      </c>
      <c r="D29" s="138" t="s">
        <v>324</v>
      </c>
      <c r="E29" s="139" t="s">
        <v>325</v>
      </c>
      <c r="F29" s="140" t="s">
        <v>320</v>
      </c>
      <c r="G29" s="141"/>
      <c r="H29" s="142"/>
      <c r="I29" s="143">
        <v>11</v>
      </c>
      <c r="J29" s="144"/>
      <c r="K29" s="145">
        <v>5</v>
      </c>
      <c r="L29" s="146">
        <v>25000</v>
      </c>
      <c r="M29" s="145">
        <v>4</v>
      </c>
      <c r="N29" s="146">
        <v>25000</v>
      </c>
      <c r="O29" s="146">
        <v>0</v>
      </c>
      <c r="P29" s="196">
        <v>0</v>
      </c>
      <c r="Q29" s="148">
        <v>0</v>
      </c>
      <c r="R29" s="148">
        <v>0</v>
      </c>
      <c r="S29" s="148">
        <v>0</v>
      </c>
      <c r="T29" s="148">
        <v>0</v>
      </c>
      <c r="U29" s="149">
        <v>0</v>
      </c>
      <c r="V29" s="148">
        <v>0</v>
      </c>
      <c r="W29" s="150">
        <v>0</v>
      </c>
      <c r="X29" s="147">
        <f>P29+R29+T29+V29</f>
        <v>0</v>
      </c>
      <c r="Y29" s="364">
        <f>Q29+S29+U29+W29</f>
        <v>0</v>
      </c>
      <c r="Z29" s="151">
        <f>X29/M29*100</f>
        <v>0</v>
      </c>
      <c r="AA29" s="176">
        <v>0</v>
      </c>
      <c r="AB29" s="197">
        <f t="shared" si="3"/>
        <v>11</v>
      </c>
      <c r="AC29" s="154"/>
      <c r="AD29" s="198"/>
      <c r="AE29" s="199"/>
    </row>
    <row r="30" spans="2:32" ht="102" x14ac:dyDescent="0.25">
      <c r="B30" s="88"/>
      <c r="C30" s="200" t="s">
        <v>213</v>
      </c>
      <c r="D30" s="201" t="s">
        <v>326</v>
      </c>
      <c r="E30" s="120"/>
      <c r="F30" s="91"/>
      <c r="G30" s="202"/>
      <c r="H30" s="123">
        <v>4731629</v>
      </c>
      <c r="I30" s="203"/>
      <c r="J30" s="204">
        <f>'[1]TW empat'!$Z$25+'[1]TW empat'!$Z$26+'[2]RKPD TW IV PERBAIKAN'!$W$34+'[3]TW IV RIIL'!$X$32</f>
        <v>2091763.5750000002</v>
      </c>
      <c r="K30" s="205"/>
      <c r="L30" s="206">
        <f>L31+L34</f>
        <v>1321119.6000000001</v>
      </c>
      <c r="M30" s="205"/>
      <c r="N30" s="207">
        <f>N31+N34</f>
        <v>1374519.4000000001</v>
      </c>
      <c r="O30" s="207">
        <f>O31+O34</f>
        <v>1400703.1</v>
      </c>
      <c r="P30" s="207"/>
      <c r="Q30" s="208">
        <f>Q31+Q34</f>
        <v>272641.77999999997</v>
      </c>
      <c r="R30" s="208"/>
      <c r="S30" s="208">
        <f>S31+S34</f>
        <v>48743.12</v>
      </c>
      <c r="T30" s="208"/>
      <c r="U30" s="209">
        <f>U31+U34</f>
        <v>2400</v>
      </c>
      <c r="V30" s="208"/>
      <c r="W30" s="123">
        <f>W31+W34</f>
        <v>983454.08000000007</v>
      </c>
      <c r="X30" s="210"/>
      <c r="Y30" s="127">
        <f>Q30+S30+U30+W30</f>
        <v>1307238.98</v>
      </c>
      <c r="Z30" s="132">
        <f>(Z31+Z34)/2</f>
        <v>113.16334239115398</v>
      </c>
      <c r="AA30" s="133">
        <f t="shared" ref="AA30:AA36" si="6">Y30/O30*100</f>
        <v>93.327342532475285</v>
      </c>
      <c r="AB30" s="134"/>
      <c r="AC30" s="125">
        <f>J30+Y30</f>
        <v>3399002.5550000002</v>
      </c>
      <c r="AD30" s="211"/>
      <c r="AE30" s="135">
        <f>AC30/H30*100</f>
        <v>71.83577907312683</v>
      </c>
      <c r="AF30" t="s">
        <v>410</v>
      </c>
    </row>
    <row r="31" spans="2:32" ht="89.25" x14ac:dyDescent="0.25">
      <c r="B31" s="212"/>
      <c r="C31" s="213"/>
      <c r="D31" s="214"/>
      <c r="E31" s="215" t="s">
        <v>327</v>
      </c>
      <c r="F31" s="216" t="s">
        <v>93</v>
      </c>
      <c r="G31" s="217">
        <v>2.33</v>
      </c>
      <c r="H31" s="218"/>
      <c r="I31" s="219">
        <v>1.1100000000000001</v>
      </c>
      <c r="J31" s="220"/>
      <c r="K31" s="221">
        <v>1.66</v>
      </c>
      <c r="L31" s="221">
        <f>SUM(L32)</f>
        <v>16320</v>
      </c>
      <c r="M31" s="221">
        <v>1.66</v>
      </c>
      <c r="N31" s="222">
        <f>SUM(N32:N33)</f>
        <v>69719.8</v>
      </c>
      <c r="O31" s="222">
        <f>SUM(O32:O33)</f>
        <v>34498.300000000003</v>
      </c>
      <c r="P31" s="223">
        <v>1.1100000000000001</v>
      </c>
      <c r="Q31" s="224">
        <f>SUM(Q32:Q33)</f>
        <v>1839.8</v>
      </c>
      <c r="R31" s="224">
        <f>SUM(R32:R33)</f>
        <v>0</v>
      </c>
      <c r="S31" s="224">
        <f>SUM(S32:S33)</f>
        <v>4800</v>
      </c>
      <c r="T31" s="225">
        <v>0.23</v>
      </c>
      <c r="U31" s="226">
        <f>SUM(U32:U33)</f>
        <v>2400</v>
      </c>
      <c r="V31" s="226">
        <v>1.7000000000000001E-2</v>
      </c>
      <c r="W31" s="227">
        <f>SUM(W32:W33)</f>
        <v>19958.5</v>
      </c>
      <c r="X31" s="228">
        <f>P31+R31+T31+V31</f>
        <v>1.357</v>
      </c>
      <c r="Y31" s="365">
        <f>SUM(Y32:Y33)</f>
        <v>28998.3</v>
      </c>
      <c r="Z31" s="176">
        <f t="shared" ref="Z31:Z37" si="7">X31/M31*100</f>
        <v>81.746987951807242</v>
      </c>
      <c r="AA31" s="152">
        <f t="shared" si="6"/>
        <v>84.057185426528264</v>
      </c>
      <c r="AB31" s="229">
        <f>+I31+X31</f>
        <v>2.4670000000000001</v>
      </c>
      <c r="AC31" s="154">
        <f>J31+Y31</f>
        <v>28998.3</v>
      </c>
      <c r="AD31" s="198">
        <f>AB31/G31*100</f>
        <v>105.87982832618026</v>
      </c>
      <c r="AE31" s="199"/>
    </row>
    <row r="32" spans="2:32" ht="89.25" x14ac:dyDescent="0.25">
      <c r="B32" s="137">
        <v>15</v>
      </c>
      <c r="C32" s="230" t="s">
        <v>216</v>
      </c>
      <c r="D32" s="138" t="s">
        <v>328</v>
      </c>
      <c r="E32" s="139" t="s">
        <v>329</v>
      </c>
      <c r="F32" s="15" t="s">
        <v>320</v>
      </c>
      <c r="G32" s="231">
        <v>130</v>
      </c>
      <c r="H32" s="232"/>
      <c r="I32" s="28"/>
      <c r="J32" s="177"/>
      <c r="K32" s="233">
        <v>20</v>
      </c>
      <c r="L32" s="234">
        <v>16320</v>
      </c>
      <c r="M32" s="233">
        <v>20</v>
      </c>
      <c r="N32" s="234">
        <v>16320</v>
      </c>
      <c r="O32" s="234">
        <v>7978.5</v>
      </c>
      <c r="P32" s="179">
        <v>0</v>
      </c>
      <c r="Q32" s="178">
        <v>0</v>
      </c>
      <c r="R32" s="179">
        <v>0</v>
      </c>
      <c r="S32" s="180">
        <v>0</v>
      </c>
      <c r="T32" s="179">
        <v>0</v>
      </c>
      <c r="U32" s="179">
        <v>0</v>
      </c>
      <c r="V32" s="179">
        <v>20</v>
      </c>
      <c r="W32" s="180">
        <v>7478.5</v>
      </c>
      <c r="X32" s="147">
        <f>P32+R32+T32+V32</f>
        <v>20</v>
      </c>
      <c r="Y32" s="364">
        <f>Q32+S32+U32+W32</f>
        <v>7478.5</v>
      </c>
      <c r="Z32" s="151">
        <f t="shared" si="7"/>
        <v>100</v>
      </c>
      <c r="AA32" s="152">
        <f t="shared" si="6"/>
        <v>93.733157861753455</v>
      </c>
      <c r="AB32" s="153">
        <f>I32+X32</f>
        <v>20</v>
      </c>
      <c r="AC32" s="235"/>
      <c r="AD32" s="236"/>
      <c r="AE32" s="237"/>
      <c r="AF32" t="s">
        <v>411</v>
      </c>
    </row>
    <row r="33" spans="2:33" ht="38.25" x14ac:dyDescent="0.25">
      <c r="B33" s="137">
        <v>16</v>
      </c>
      <c r="C33" s="230" t="s">
        <v>239</v>
      </c>
      <c r="D33" s="138" t="s">
        <v>22</v>
      </c>
      <c r="E33" s="139" t="s">
        <v>330</v>
      </c>
      <c r="F33" s="15" t="s">
        <v>320</v>
      </c>
      <c r="G33" s="231"/>
      <c r="H33" s="232"/>
      <c r="I33" s="143"/>
      <c r="J33" s="144"/>
      <c r="K33" s="233">
        <v>40</v>
      </c>
      <c r="L33" s="234">
        <v>53399.8</v>
      </c>
      <c r="M33" s="233">
        <v>40</v>
      </c>
      <c r="N33" s="234">
        <v>53399.8</v>
      </c>
      <c r="O33" s="234">
        <v>26519.8</v>
      </c>
      <c r="P33" s="238">
        <v>0</v>
      </c>
      <c r="Q33" s="148">
        <v>1839.8</v>
      </c>
      <c r="R33" s="239">
        <v>0</v>
      </c>
      <c r="S33" s="149">
        <v>4800</v>
      </c>
      <c r="T33" s="239">
        <v>0</v>
      </c>
      <c r="U33" s="149">
        <v>2400</v>
      </c>
      <c r="V33" s="239">
        <v>40</v>
      </c>
      <c r="W33" s="150">
        <v>12480</v>
      </c>
      <c r="X33" s="147">
        <f>P33+R33+T33+V33</f>
        <v>40</v>
      </c>
      <c r="Y33" s="364">
        <f>Q33+S33+U33+W33</f>
        <v>21519.8</v>
      </c>
      <c r="Z33" s="151">
        <f t="shared" si="7"/>
        <v>100</v>
      </c>
      <c r="AA33" s="152">
        <f t="shared" si="6"/>
        <v>81.146162489913195</v>
      </c>
      <c r="AB33" s="153"/>
      <c r="AC33" s="154"/>
      <c r="AD33" s="198"/>
      <c r="AE33" s="199"/>
      <c r="AF33" t="s">
        <v>412</v>
      </c>
    </row>
    <row r="34" spans="2:33" ht="63.75" x14ac:dyDescent="0.25">
      <c r="B34" s="137"/>
      <c r="C34" s="240"/>
      <c r="D34" s="138"/>
      <c r="E34" s="215" t="s">
        <v>331</v>
      </c>
      <c r="F34" s="216" t="s">
        <v>93</v>
      </c>
      <c r="G34" s="241">
        <v>45.38</v>
      </c>
      <c r="H34" s="218"/>
      <c r="I34" s="219">
        <v>42.07</v>
      </c>
      <c r="J34" s="220"/>
      <c r="K34" s="221">
        <v>43.54</v>
      </c>
      <c r="L34" s="242">
        <f>SUM(L35:L37)</f>
        <v>1304799.6000000001</v>
      </c>
      <c r="M34" s="221">
        <v>43.54</v>
      </c>
      <c r="N34" s="222">
        <f>SUM(N35:N37)</f>
        <v>1304799.6000000001</v>
      </c>
      <c r="O34" s="222">
        <f>SUM(O35:O37)</f>
        <v>1366204.8</v>
      </c>
      <c r="P34" s="223">
        <v>42.62</v>
      </c>
      <c r="Q34" s="224">
        <f>SUM(Q35:Q37)</f>
        <v>270801.98</v>
      </c>
      <c r="R34" s="225">
        <v>0.23</v>
      </c>
      <c r="S34" s="224">
        <f>SUM(S35:S37)</f>
        <v>43943.12</v>
      </c>
      <c r="T34" s="225">
        <v>18.11</v>
      </c>
      <c r="U34" s="243">
        <f>SUM(U35:U37)</f>
        <v>0</v>
      </c>
      <c r="V34" s="226">
        <v>1.99</v>
      </c>
      <c r="W34" s="227">
        <f>SUM(W35:W37)</f>
        <v>963495.58000000007</v>
      </c>
      <c r="X34" s="228">
        <f>P34+R34+T34+V34</f>
        <v>62.949999999999996</v>
      </c>
      <c r="Y34" s="365">
        <f>Q34+S34+W34+U34</f>
        <v>1278240.6800000002</v>
      </c>
      <c r="Z34" s="176">
        <f t="shared" si="7"/>
        <v>144.57969683050069</v>
      </c>
      <c r="AA34" s="223">
        <f t="shared" si="6"/>
        <v>93.56142505135395</v>
      </c>
      <c r="AB34" s="153">
        <f>I34+X34</f>
        <v>105.02</v>
      </c>
      <c r="AC34" s="154">
        <f>J34+Y34</f>
        <v>1278240.6800000002</v>
      </c>
      <c r="AD34" s="198">
        <f>AB34/G34*100</f>
        <v>231.42353459673865</v>
      </c>
      <c r="AE34" s="199"/>
      <c r="AF34" s="80" t="s">
        <v>413</v>
      </c>
    </row>
    <row r="35" spans="2:33" ht="38.25" x14ac:dyDescent="0.25">
      <c r="B35" s="137">
        <v>17</v>
      </c>
      <c r="C35" s="230" t="s">
        <v>238</v>
      </c>
      <c r="D35" s="138" t="s">
        <v>332</v>
      </c>
      <c r="E35" s="139" t="s">
        <v>333</v>
      </c>
      <c r="F35" s="15" t="s">
        <v>320</v>
      </c>
      <c r="G35" s="231">
        <v>324</v>
      </c>
      <c r="H35" s="232"/>
      <c r="I35" s="143"/>
      <c r="J35" s="144"/>
      <c r="K35" s="233">
        <v>120</v>
      </c>
      <c r="L35" s="234">
        <v>1073599.6000000001</v>
      </c>
      <c r="M35" s="233">
        <v>245</v>
      </c>
      <c r="N35" s="234">
        <v>1073599.6000000001</v>
      </c>
      <c r="O35" s="234">
        <v>897999.8</v>
      </c>
      <c r="P35" s="238">
        <v>40</v>
      </c>
      <c r="Q35" s="148">
        <v>185154.48</v>
      </c>
      <c r="R35" s="239">
        <v>0</v>
      </c>
      <c r="S35" s="149">
        <v>11385.62</v>
      </c>
      <c r="T35" s="239">
        <v>0</v>
      </c>
      <c r="U35" s="149">
        <v>0</v>
      </c>
      <c r="V35" s="149">
        <v>170</v>
      </c>
      <c r="W35" s="150">
        <v>614279</v>
      </c>
      <c r="X35" s="147">
        <f>P35+R35+T35+V35</f>
        <v>210</v>
      </c>
      <c r="Y35" s="364">
        <v>810819.1</v>
      </c>
      <c r="Z35" s="151">
        <f t="shared" si="7"/>
        <v>85.714285714285708</v>
      </c>
      <c r="AA35" s="152">
        <f t="shared" si="6"/>
        <v>90.29167935226711</v>
      </c>
      <c r="AB35" s="153">
        <f>I35+X35</f>
        <v>210</v>
      </c>
      <c r="AC35" s="154"/>
      <c r="AD35" s="198"/>
      <c r="AE35" s="199"/>
      <c r="AF35" t="s">
        <v>414</v>
      </c>
    </row>
    <row r="36" spans="2:33" ht="38.25" x14ac:dyDescent="0.25">
      <c r="B36" s="137">
        <v>18</v>
      </c>
      <c r="C36" s="230" t="s">
        <v>214</v>
      </c>
      <c r="D36" s="138" t="s">
        <v>247</v>
      </c>
      <c r="E36" s="139" t="s">
        <v>334</v>
      </c>
      <c r="F36" s="244" t="s">
        <v>320</v>
      </c>
      <c r="G36" s="245">
        <v>1561</v>
      </c>
      <c r="H36" s="232"/>
      <c r="I36" s="143"/>
      <c r="J36" s="144"/>
      <c r="K36" s="233">
        <v>1000</v>
      </c>
      <c r="L36" s="234">
        <v>200000</v>
      </c>
      <c r="M36" s="233">
        <v>2073</v>
      </c>
      <c r="N36" s="234">
        <v>200000</v>
      </c>
      <c r="O36" s="234">
        <v>468205</v>
      </c>
      <c r="P36" s="238">
        <v>1250</v>
      </c>
      <c r="Q36" s="148">
        <v>85647.5</v>
      </c>
      <c r="R36" s="239">
        <v>0</v>
      </c>
      <c r="S36" s="149">
        <v>32557.5</v>
      </c>
      <c r="T36" s="239">
        <v>0</v>
      </c>
      <c r="U36" s="149">
        <v>0</v>
      </c>
      <c r="V36" s="149">
        <v>0</v>
      </c>
      <c r="W36" s="150">
        <v>349216.58</v>
      </c>
      <c r="X36" s="147">
        <f>P36</f>
        <v>1250</v>
      </c>
      <c r="Y36" s="364">
        <f t="shared" ref="Y36:Y44" si="8">Q36+S36+U36+W36</f>
        <v>467421.58</v>
      </c>
      <c r="Z36" s="151">
        <f t="shared" si="7"/>
        <v>60.299083453931502</v>
      </c>
      <c r="AA36" s="152">
        <f t="shared" si="6"/>
        <v>99.832675857797341</v>
      </c>
      <c r="AB36" s="153">
        <f>I36+X36</f>
        <v>1250</v>
      </c>
      <c r="AC36" s="154"/>
      <c r="AD36" s="198"/>
      <c r="AE36" s="199"/>
    </row>
    <row r="37" spans="2:33" ht="25.5" x14ac:dyDescent="0.25">
      <c r="B37" s="137">
        <v>19</v>
      </c>
      <c r="C37" s="230" t="s">
        <v>215</v>
      </c>
      <c r="D37" s="138" t="s">
        <v>335</v>
      </c>
      <c r="E37" s="139" t="s">
        <v>336</v>
      </c>
      <c r="F37" s="15" t="s">
        <v>320</v>
      </c>
      <c r="G37" s="231">
        <v>332</v>
      </c>
      <c r="H37" s="232"/>
      <c r="I37" s="143"/>
      <c r="J37" s="144"/>
      <c r="K37" s="233">
        <v>200</v>
      </c>
      <c r="L37" s="234">
        <v>31200</v>
      </c>
      <c r="M37" s="233">
        <v>200</v>
      </c>
      <c r="N37" s="234">
        <v>31200</v>
      </c>
      <c r="O37" s="234">
        <v>0</v>
      </c>
      <c r="P37" s="238">
        <v>0</v>
      </c>
      <c r="Q37" s="148">
        <v>0</v>
      </c>
      <c r="R37" s="239">
        <v>0</v>
      </c>
      <c r="S37" s="148">
        <v>0</v>
      </c>
      <c r="T37" s="239">
        <v>0</v>
      </c>
      <c r="U37" s="149">
        <v>0</v>
      </c>
      <c r="V37" s="149">
        <v>0</v>
      </c>
      <c r="W37" s="150">
        <v>0</v>
      </c>
      <c r="X37" s="147">
        <f t="shared" ref="X37:X43" si="9">P37+R37+T37+V37</f>
        <v>0</v>
      </c>
      <c r="Y37" s="364">
        <f t="shared" si="8"/>
        <v>0</v>
      </c>
      <c r="Z37" s="151">
        <f t="shared" si="7"/>
        <v>0</v>
      </c>
      <c r="AA37" s="152"/>
      <c r="AB37" s="153"/>
      <c r="AC37" s="154"/>
      <c r="AD37" s="198"/>
      <c r="AE37" s="199"/>
    </row>
    <row r="38" spans="2:33" s="136" customFormat="1" ht="38.25" x14ac:dyDescent="0.25">
      <c r="B38" s="157"/>
      <c r="C38" s="246" t="s">
        <v>232</v>
      </c>
      <c r="D38" s="158" t="s">
        <v>337</v>
      </c>
      <c r="E38" s="182"/>
      <c r="F38" s="247"/>
      <c r="G38" s="248"/>
      <c r="H38" s="162">
        <v>11043700</v>
      </c>
      <c r="I38" s="249"/>
      <c r="J38" s="164">
        <f>'[1]TW empat'!$Z$32+'[2]RKPD TW IV PERBAIKAN'!$W$43+'[3]TW IV RIIL'!$X$39</f>
        <v>4858924.4479999999</v>
      </c>
      <c r="K38" s="250"/>
      <c r="L38" s="251">
        <f>L39+L45</f>
        <v>1377896.9</v>
      </c>
      <c r="M38" s="250"/>
      <c r="N38" s="169">
        <f>N39+N45</f>
        <v>1429357.9</v>
      </c>
      <c r="O38" s="169">
        <f>O39+O45</f>
        <v>1389031.4</v>
      </c>
      <c r="P38" s="162"/>
      <c r="Q38" s="169">
        <f>Q39+Q45</f>
        <v>67713.737999999998</v>
      </c>
      <c r="R38" s="169"/>
      <c r="S38" s="251">
        <f>S39+S45</f>
        <v>520172.16200000001</v>
      </c>
      <c r="T38" s="169"/>
      <c r="U38" s="252">
        <f>U39+U45</f>
        <v>88079.065000000002</v>
      </c>
      <c r="V38" s="252"/>
      <c r="W38" s="252">
        <f>W39+W45</f>
        <v>397059.69</v>
      </c>
      <c r="X38" s="253"/>
      <c r="Y38" s="282">
        <f>Q38+S38+U38+W38</f>
        <v>1073024.655</v>
      </c>
      <c r="Z38" s="132">
        <f>(Z39+Z45)/2</f>
        <v>131.310989010989</v>
      </c>
      <c r="AA38" s="169">
        <f>Y38/O38*100</f>
        <v>77.249848707523824</v>
      </c>
      <c r="AB38" s="170"/>
      <c r="AC38" s="125">
        <f>J38+Y38</f>
        <v>5931949.1030000001</v>
      </c>
      <c r="AD38" s="195"/>
      <c r="AE38" s="172">
        <f>AC38/H38*100</f>
        <v>53.713421253746482</v>
      </c>
    </row>
    <row r="39" spans="2:33" s="136" customFormat="1" ht="25.5" x14ac:dyDescent="0.25">
      <c r="B39" s="254"/>
      <c r="C39" s="15"/>
      <c r="D39" s="255"/>
      <c r="E39" s="215" t="s">
        <v>338</v>
      </c>
      <c r="F39" s="216" t="s">
        <v>93</v>
      </c>
      <c r="G39" s="256">
        <v>0.33</v>
      </c>
      <c r="H39" s="223"/>
      <c r="I39" s="219">
        <v>0.22</v>
      </c>
      <c r="J39" s="220"/>
      <c r="K39" s="257">
        <v>0.26</v>
      </c>
      <c r="L39" s="227">
        <f>SUM(L40:L44)</f>
        <v>977898</v>
      </c>
      <c r="M39" s="257">
        <v>0.26</v>
      </c>
      <c r="N39" s="227">
        <f>SUM(N40:N44)</f>
        <v>1029359</v>
      </c>
      <c r="O39" s="227">
        <f>SUM(O40:O44)</f>
        <v>362232.5</v>
      </c>
      <c r="P39" s="258">
        <v>0.23</v>
      </c>
      <c r="Q39" s="259">
        <f>SUM(Q40:Q44)</f>
        <v>67713.737999999998</v>
      </c>
      <c r="R39" s="258">
        <v>0.03</v>
      </c>
      <c r="S39" s="259">
        <f>SUM(S40:S44)</f>
        <v>79322.161999999997</v>
      </c>
      <c r="T39" s="260">
        <v>5.2999999999999999E-2</v>
      </c>
      <c r="U39" s="259">
        <f>SUM(U40:U44)</f>
        <v>86968.165000000008</v>
      </c>
      <c r="V39" s="260">
        <v>1.7999999999999999E-2</v>
      </c>
      <c r="W39" s="259">
        <f>SUM(W40:W44)</f>
        <v>81145.724000000002</v>
      </c>
      <c r="X39" s="228">
        <f t="shared" si="9"/>
        <v>0.33100000000000002</v>
      </c>
      <c r="Y39" s="365">
        <f t="shared" si="8"/>
        <v>315149.78899999999</v>
      </c>
      <c r="Z39" s="261">
        <f t="shared" ref="Z39:Z45" si="10">X39/M39*100</f>
        <v>127.30769230769229</v>
      </c>
      <c r="AA39" s="223">
        <f>Y39/O39*100</f>
        <v>87.002074358319575</v>
      </c>
      <c r="AB39" s="197"/>
      <c r="AC39" s="154">
        <f>J39+Y39</f>
        <v>315149.78899999999</v>
      </c>
      <c r="AD39" s="198">
        <f>AB39/G39*100</f>
        <v>0</v>
      </c>
      <c r="AE39" s="199"/>
      <c r="AF39" s="136">
        <f>0.22+0.01+0.03+0.053+0.018</f>
        <v>0.33100000000000002</v>
      </c>
    </row>
    <row r="40" spans="2:33" ht="76.5" x14ac:dyDescent="0.25">
      <c r="B40" s="137">
        <v>20</v>
      </c>
      <c r="C40" s="230" t="s">
        <v>233</v>
      </c>
      <c r="D40" s="138" t="s">
        <v>339</v>
      </c>
      <c r="E40" s="139" t="s">
        <v>340</v>
      </c>
      <c r="F40" s="15" t="s">
        <v>320</v>
      </c>
      <c r="G40" s="262"/>
      <c r="H40" s="232"/>
      <c r="I40" s="143"/>
      <c r="J40" s="144"/>
      <c r="K40" s="233">
        <v>100</v>
      </c>
      <c r="L40" s="234">
        <v>420000</v>
      </c>
      <c r="M40" s="233">
        <v>100</v>
      </c>
      <c r="N40" s="234">
        <v>420000</v>
      </c>
      <c r="O40" s="234">
        <v>199434</v>
      </c>
      <c r="P40" s="150">
        <v>43</v>
      </c>
      <c r="Q40" s="148">
        <v>40381.237999999998</v>
      </c>
      <c r="R40" s="239">
        <v>31</v>
      </c>
      <c r="S40" s="148">
        <v>45559.061999999998</v>
      </c>
      <c r="T40" s="239">
        <v>24</v>
      </c>
      <c r="U40" s="149">
        <v>49834.165000000001</v>
      </c>
      <c r="V40" s="239">
        <v>26</v>
      </c>
      <c r="W40" s="150">
        <v>28035.723999999998</v>
      </c>
      <c r="X40" s="147">
        <f t="shared" si="9"/>
        <v>124</v>
      </c>
      <c r="Y40" s="364">
        <f t="shared" si="8"/>
        <v>163810.18899999998</v>
      </c>
      <c r="Z40" s="151">
        <f t="shared" si="10"/>
        <v>124</v>
      </c>
      <c r="AA40" s="152">
        <f>Y40/O40*100</f>
        <v>82.137543748809122</v>
      </c>
      <c r="AB40" s="153">
        <f t="shared" ref="AB40:AB46" si="11">I40+X40</f>
        <v>124</v>
      </c>
      <c r="AC40" s="154"/>
      <c r="AD40" s="198"/>
      <c r="AE40" s="156" t="e">
        <f>AC40/H40*100</f>
        <v>#DIV/0!</v>
      </c>
    </row>
    <row r="41" spans="2:33" ht="51" x14ac:dyDescent="0.25">
      <c r="B41" s="137">
        <v>21</v>
      </c>
      <c r="C41" s="230" t="s">
        <v>237</v>
      </c>
      <c r="D41" s="138" t="s">
        <v>341</v>
      </c>
      <c r="E41" s="139" t="s">
        <v>342</v>
      </c>
      <c r="F41" s="15" t="s">
        <v>320</v>
      </c>
      <c r="G41" s="262"/>
      <c r="H41" s="232"/>
      <c r="I41" s="28"/>
      <c r="J41" s="177"/>
      <c r="K41" s="233">
        <v>40</v>
      </c>
      <c r="L41" s="234">
        <v>272709</v>
      </c>
      <c r="M41" s="233">
        <v>40</v>
      </c>
      <c r="N41" s="234">
        <v>272709</v>
      </c>
      <c r="O41" s="234">
        <v>158098.5</v>
      </c>
      <c r="P41" s="179">
        <v>3</v>
      </c>
      <c r="Q41" s="148">
        <v>23764.5</v>
      </c>
      <c r="R41" s="179">
        <v>2</v>
      </c>
      <c r="S41" s="180">
        <v>33763.1</v>
      </c>
      <c r="T41" s="179">
        <v>5</v>
      </c>
      <c r="U41" s="180">
        <v>36002</v>
      </c>
      <c r="V41" s="179">
        <v>3</v>
      </c>
      <c r="W41" s="180">
        <v>53110</v>
      </c>
      <c r="X41" s="147">
        <f t="shared" si="9"/>
        <v>13</v>
      </c>
      <c r="Y41" s="364">
        <f t="shared" si="8"/>
        <v>146639.6</v>
      </c>
      <c r="Z41" s="151">
        <f t="shared" si="10"/>
        <v>32.5</v>
      </c>
      <c r="AA41" s="152">
        <f>Y41/O41*100</f>
        <v>92.752050145953319</v>
      </c>
      <c r="AB41" s="153">
        <f t="shared" si="11"/>
        <v>13</v>
      </c>
      <c r="AC41" s="154"/>
      <c r="AD41" s="198"/>
      <c r="AE41" s="156" t="e">
        <f>AC41/H41*100</f>
        <v>#DIV/0!</v>
      </c>
    </row>
    <row r="42" spans="2:33" ht="25.5" x14ac:dyDescent="0.25">
      <c r="B42" s="137">
        <v>23</v>
      </c>
      <c r="C42" s="230" t="s">
        <v>343</v>
      </c>
      <c r="D42" s="138" t="s">
        <v>344</v>
      </c>
      <c r="E42" s="139" t="s">
        <v>345</v>
      </c>
      <c r="F42" s="15" t="s">
        <v>94</v>
      </c>
      <c r="G42" s="262"/>
      <c r="H42" s="232"/>
      <c r="I42" s="28"/>
      <c r="J42" s="177"/>
      <c r="K42" s="233">
        <v>12</v>
      </c>
      <c r="L42" s="234">
        <v>245189</v>
      </c>
      <c r="M42" s="233">
        <v>12</v>
      </c>
      <c r="N42" s="234">
        <v>245189</v>
      </c>
      <c r="O42" s="234">
        <v>0</v>
      </c>
      <c r="P42" s="179">
        <v>0</v>
      </c>
      <c r="Q42" s="178">
        <v>0</v>
      </c>
      <c r="R42" s="179">
        <v>0</v>
      </c>
      <c r="S42" s="178">
        <v>0</v>
      </c>
      <c r="T42" s="179">
        <v>0</v>
      </c>
      <c r="U42" s="180">
        <v>0</v>
      </c>
      <c r="V42" s="179">
        <v>0</v>
      </c>
      <c r="W42" s="180">
        <v>0</v>
      </c>
      <c r="X42" s="147">
        <f t="shared" si="9"/>
        <v>0</v>
      </c>
      <c r="Y42" s="364">
        <f t="shared" si="8"/>
        <v>0</v>
      </c>
      <c r="Z42" s="151">
        <f t="shared" si="10"/>
        <v>0</v>
      </c>
      <c r="AA42" s="151">
        <v>0</v>
      </c>
      <c r="AB42" s="153">
        <f t="shared" si="11"/>
        <v>0</v>
      </c>
      <c r="AC42" s="154"/>
      <c r="AD42" s="198"/>
      <c r="AE42" s="156" t="e">
        <f>AC42/H42*100</f>
        <v>#DIV/0!</v>
      </c>
    </row>
    <row r="43" spans="2:33" ht="76.5" x14ac:dyDescent="0.25">
      <c r="B43" s="137">
        <v>22</v>
      </c>
      <c r="C43" s="230" t="s">
        <v>346</v>
      </c>
      <c r="D43" s="138" t="s">
        <v>347</v>
      </c>
      <c r="E43" s="139" t="s">
        <v>348</v>
      </c>
      <c r="F43" s="15" t="s">
        <v>101</v>
      </c>
      <c r="G43" s="262"/>
      <c r="H43" s="232"/>
      <c r="I43" s="28"/>
      <c r="J43" s="177"/>
      <c r="K43" s="233">
        <v>0</v>
      </c>
      <c r="L43" s="234">
        <v>0</v>
      </c>
      <c r="M43" s="233">
        <v>6</v>
      </c>
      <c r="N43" s="234">
        <v>51461</v>
      </c>
      <c r="O43" s="234">
        <v>0</v>
      </c>
      <c r="P43" s="179">
        <v>0</v>
      </c>
      <c r="Q43" s="178">
        <v>0</v>
      </c>
      <c r="R43" s="179">
        <v>0</v>
      </c>
      <c r="S43" s="178">
        <v>0</v>
      </c>
      <c r="T43" s="179">
        <v>0</v>
      </c>
      <c r="U43" s="180">
        <v>0</v>
      </c>
      <c r="V43" s="179">
        <v>0</v>
      </c>
      <c r="W43" s="180">
        <v>0</v>
      </c>
      <c r="X43" s="147">
        <f t="shared" si="9"/>
        <v>0</v>
      </c>
      <c r="Y43" s="364">
        <f t="shared" si="8"/>
        <v>0</v>
      </c>
      <c r="Z43" s="181">
        <f t="shared" si="10"/>
        <v>0</v>
      </c>
      <c r="AA43" s="181">
        <v>0</v>
      </c>
      <c r="AB43" s="153">
        <f t="shared" si="11"/>
        <v>0</v>
      </c>
      <c r="AC43" s="263"/>
      <c r="AD43" s="198"/>
      <c r="AE43" s="156" t="e">
        <f>AC43/H43*100</f>
        <v>#DIV/0!</v>
      </c>
    </row>
    <row r="44" spans="2:33" ht="25.5" x14ac:dyDescent="0.25">
      <c r="B44" s="137">
        <v>24</v>
      </c>
      <c r="C44" s="230" t="s">
        <v>244</v>
      </c>
      <c r="D44" s="138" t="s">
        <v>349</v>
      </c>
      <c r="E44" s="139" t="s">
        <v>350</v>
      </c>
      <c r="F44" s="15" t="s">
        <v>351</v>
      </c>
      <c r="G44" s="262"/>
      <c r="H44" s="232"/>
      <c r="I44" s="28"/>
      <c r="J44" s="177"/>
      <c r="K44" s="233">
        <v>1</v>
      </c>
      <c r="L44" s="234">
        <v>40000</v>
      </c>
      <c r="M44" s="233">
        <v>1</v>
      </c>
      <c r="N44" s="234">
        <v>40000</v>
      </c>
      <c r="O44" s="234">
        <v>4700</v>
      </c>
      <c r="P44" s="179">
        <v>0</v>
      </c>
      <c r="Q44" s="178">
        <v>3568</v>
      </c>
      <c r="R44" s="179">
        <v>0</v>
      </c>
      <c r="S44" s="178">
        <v>0</v>
      </c>
      <c r="T44" s="179">
        <v>0</v>
      </c>
      <c r="U44" s="180">
        <v>1132</v>
      </c>
      <c r="V44" s="179">
        <v>0</v>
      </c>
      <c r="W44" s="180">
        <v>0</v>
      </c>
      <c r="X44" s="147">
        <v>1</v>
      </c>
      <c r="Y44" s="364">
        <f t="shared" si="8"/>
        <v>4700</v>
      </c>
      <c r="Z44" s="151">
        <f t="shared" si="10"/>
        <v>100</v>
      </c>
      <c r="AA44" s="181">
        <f>Y44/O44*100</f>
        <v>100</v>
      </c>
      <c r="AB44" s="153">
        <f t="shared" si="11"/>
        <v>1</v>
      </c>
      <c r="AC44" s="154"/>
      <c r="AD44" s="198"/>
      <c r="AE44" s="156"/>
    </row>
    <row r="45" spans="2:33" ht="51" x14ac:dyDescent="0.25">
      <c r="B45" s="137"/>
      <c r="C45" s="264"/>
      <c r="D45" s="138"/>
      <c r="E45" s="215" t="s">
        <v>352</v>
      </c>
      <c r="F45" s="216" t="s">
        <v>93</v>
      </c>
      <c r="G45" s="265">
        <v>100</v>
      </c>
      <c r="H45" s="227"/>
      <c r="I45" s="266">
        <v>207.8</v>
      </c>
      <c r="J45" s="220"/>
      <c r="K45" s="243">
        <v>100</v>
      </c>
      <c r="L45" s="227">
        <f>SUM(L46)</f>
        <v>399998.9</v>
      </c>
      <c r="M45" s="243">
        <v>100</v>
      </c>
      <c r="N45" s="227">
        <f>SUM(N46)</f>
        <v>399998.9</v>
      </c>
      <c r="O45" s="227">
        <f>SUM(O46)</f>
        <v>1026798.9</v>
      </c>
      <c r="P45" s="258">
        <f>622/3500*100</f>
        <v>17.771428571428572</v>
      </c>
      <c r="Q45" s="259">
        <f>SUM(Q46)</f>
        <v>0</v>
      </c>
      <c r="R45" s="258">
        <f>449/3500*100</f>
        <v>12.828571428571427</v>
      </c>
      <c r="S45" s="259">
        <f>SUM(S46)</f>
        <v>440850</v>
      </c>
      <c r="T45" s="258">
        <f>220/3500*100</f>
        <v>6.2857142857142865</v>
      </c>
      <c r="U45" s="259">
        <f>U46</f>
        <v>1110.9000000000001</v>
      </c>
      <c r="V45" s="258">
        <f>3445/3500*100</f>
        <v>98.428571428571431</v>
      </c>
      <c r="W45" s="259">
        <f>W46</f>
        <v>315913.96600000001</v>
      </c>
      <c r="X45" s="267">
        <f>P45+R45+T45+V45</f>
        <v>135.31428571428572</v>
      </c>
      <c r="Y45" s="365">
        <f>Q45++S45+U45+W45</f>
        <v>757874.86600000004</v>
      </c>
      <c r="Z45" s="176">
        <f t="shared" si="10"/>
        <v>135.31428571428572</v>
      </c>
      <c r="AA45" s="268">
        <f>Z45</f>
        <v>135.31428571428572</v>
      </c>
      <c r="AB45" s="153">
        <f t="shared" si="11"/>
        <v>343.11428571428576</v>
      </c>
      <c r="AC45" s="154">
        <f>J45+Y45</f>
        <v>757874.86600000004</v>
      </c>
      <c r="AD45" s="198">
        <f>AA45</f>
        <v>135.31428571428572</v>
      </c>
      <c r="AE45" s="199"/>
    </row>
    <row r="46" spans="2:33" ht="63.75" x14ac:dyDescent="0.25">
      <c r="B46" s="137">
        <v>25</v>
      </c>
      <c r="C46" s="230" t="s">
        <v>245</v>
      </c>
      <c r="D46" s="138" t="s">
        <v>353</v>
      </c>
      <c r="E46" s="139" t="s">
        <v>354</v>
      </c>
      <c r="F46" s="15" t="s">
        <v>355</v>
      </c>
      <c r="G46" s="269"/>
      <c r="H46" s="232"/>
      <c r="I46" s="143"/>
      <c r="J46" s="144"/>
      <c r="K46" s="233">
        <v>1200</v>
      </c>
      <c r="L46" s="234">
        <v>399998.9</v>
      </c>
      <c r="M46" s="233">
        <v>3500</v>
      </c>
      <c r="N46" s="234">
        <v>399998.9</v>
      </c>
      <c r="O46" s="234">
        <v>1026798.9</v>
      </c>
      <c r="P46" s="270" t="s">
        <v>356</v>
      </c>
      <c r="Q46" s="148">
        <v>0</v>
      </c>
      <c r="R46" s="239" t="s">
        <v>357</v>
      </c>
      <c r="S46" s="149">
        <v>440850</v>
      </c>
      <c r="T46" s="239" t="s">
        <v>358</v>
      </c>
      <c r="U46" s="150">
        <v>1110.9000000000001</v>
      </c>
      <c r="V46" s="239" t="s">
        <v>359</v>
      </c>
      <c r="W46" s="150">
        <v>315913.96600000001</v>
      </c>
      <c r="X46" s="147" t="s">
        <v>360</v>
      </c>
      <c r="Y46" s="364">
        <f t="shared" ref="Y46:Y66" si="12">Q46+S46+U46+W46</f>
        <v>757874.86600000004</v>
      </c>
      <c r="Z46" s="151">
        <f>1298/M46*100</f>
        <v>37.085714285714282</v>
      </c>
      <c r="AA46" s="152">
        <f>Y46/O46*100</f>
        <v>73.809473890164867</v>
      </c>
      <c r="AB46" s="153" t="e">
        <f t="shared" si="11"/>
        <v>#VALUE!</v>
      </c>
      <c r="AC46" s="154"/>
      <c r="AD46" s="198"/>
      <c r="AE46" s="156" t="e">
        <f>AC46/H46*100</f>
        <v>#DIV/0!</v>
      </c>
    </row>
    <row r="47" spans="2:33" s="136" customFormat="1" ht="25.5" x14ac:dyDescent="0.25">
      <c r="B47" s="99"/>
      <c r="C47" s="246" t="s">
        <v>242</v>
      </c>
      <c r="D47" s="119" t="s">
        <v>361</v>
      </c>
      <c r="E47" s="182" t="s">
        <v>362</v>
      </c>
      <c r="F47" s="102" t="s">
        <v>93</v>
      </c>
      <c r="G47" s="248">
        <v>1.01</v>
      </c>
      <c r="H47" s="162">
        <v>1530867</v>
      </c>
      <c r="I47" s="249">
        <v>0.42</v>
      </c>
      <c r="J47" s="164">
        <f>'[1]TW empat'!$Z$39+'[2]RKPD TW IV PERBAIKAN'!$W$53+'[3]TW IV RIIL'!$X$47</f>
        <v>354170.45</v>
      </c>
      <c r="K47" s="250">
        <v>0.63</v>
      </c>
      <c r="L47" s="251">
        <f>L48</f>
        <v>162999.75</v>
      </c>
      <c r="M47" s="250">
        <v>0.63</v>
      </c>
      <c r="N47" s="251">
        <f>SUM(N48:N48)</f>
        <v>162999.75</v>
      </c>
      <c r="O47" s="251">
        <f>SUM(O48:O48)</f>
        <v>0</v>
      </c>
      <c r="P47" s="271">
        <v>0.42</v>
      </c>
      <c r="Q47" s="272">
        <v>0</v>
      </c>
      <c r="R47" s="273">
        <v>0.19</v>
      </c>
      <c r="S47" s="272">
        <v>0</v>
      </c>
      <c r="T47" s="274">
        <v>8.4000000000000005E-2</v>
      </c>
      <c r="U47" s="275">
        <f>U48</f>
        <v>0</v>
      </c>
      <c r="V47" s="274">
        <v>9.6000000000000002E-2</v>
      </c>
      <c r="W47" s="275">
        <f>W48</f>
        <v>0</v>
      </c>
      <c r="X47" s="276">
        <f>P47+R47+T47+V47</f>
        <v>0.78999999999999992</v>
      </c>
      <c r="Y47" s="282">
        <f t="shared" si="12"/>
        <v>0</v>
      </c>
      <c r="Z47" s="132">
        <f>X47/M47*100</f>
        <v>125.39682539682538</v>
      </c>
      <c r="AA47" s="132">
        <v>0</v>
      </c>
      <c r="AB47" s="277">
        <f>X47+I47</f>
        <v>1.21</v>
      </c>
      <c r="AC47" s="125">
        <f>J47+Y47</f>
        <v>354170.45</v>
      </c>
      <c r="AD47" s="195">
        <f>AB47/G47*100</f>
        <v>119.80198019801979</v>
      </c>
      <c r="AE47" s="172">
        <f>AC47/H47*100</f>
        <v>23.13528542975974</v>
      </c>
      <c r="AF47" s="1054" t="s">
        <v>415</v>
      </c>
      <c r="AG47" s="1055"/>
    </row>
    <row r="48" spans="2:33" ht="51" x14ac:dyDescent="0.25">
      <c r="B48" s="137">
        <v>26</v>
      </c>
      <c r="C48" s="230" t="s">
        <v>243</v>
      </c>
      <c r="D48" s="138" t="s">
        <v>363</v>
      </c>
      <c r="E48" s="139" t="s">
        <v>364</v>
      </c>
      <c r="F48" s="15" t="s">
        <v>365</v>
      </c>
      <c r="G48" s="262"/>
      <c r="H48" s="232"/>
      <c r="I48" s="143"/>
      <c r="J48" s="144"/>
      <c r="K48" s="233">
        <v>115</v>
      </c>
      <c r="L48" s="234">
        <v>162999.75</v>
      </c>
      <c r="M48" s="233">
        <v>105</v>
      </c>
      <c r="N48" s="234">
        <v>162999.75</v>
      </c>
      <c r="O48" s="234">
        <v>0</v>
      </c>
      <c r="P48" s="238">
        <v>0</v>
      </c>
      <c r="Q48" s="148">
        <f>+Q47</f>
        <v>0</v>
      </c>
      <c r="R48" s="239">
        <v>0</v>
      </c>
      <c r="S48" s="148">
        <v>0</v>
      </c>
      <c r="T48" s="239">
        <v>0</v>
      </c>
      <c r="U48" s="239">
        <v>0</v>
      </c>
      <c r="V48" s="239">
        <v>0</v>
      </c>
      <c r="W48" s="150">
        <v>0</v>
      </c>
      <c r="X48" s="147">
        <f t="shared" ref="X48:X66" si="13">P48+R48+T48+V48</f>
        <v>0</v>
      </c>
      <c r="Y48" s="364">
        <f t="shared" si="12"/>
        <v>0</v>
      </c>
      <c r="Z48" s="151">
        <f t="shared" ref="Z48:Z66" si="14">X48/M48*100</f>
        <v>0</v>
      </c>
      <c r="AA48" s="176">
        <v>0</v>
      </c>
      <c r="AB48" s="153">
        <f t="shared" ref="AB48:AB64" si="15">I48+X48</f>
        <v>0</v>
      </c>
      <c r="AC48" s="154"/>
      <c r="AD48" s="198"/>
      <c r="AE48" s="199"/>
    </row>
    <row r="49" spans="2:35" s="136" customFormat="1" ht="51" x14ac:dyDescent="0.25">
      <c r="B49" s="99"/>
      <c r="C49" s="246" t="s">
        <v>234</v>
      </c>
      <c r="D49" s="119" t="s">
        <v>366</v>
      </c>
      <c r="E49" s="182" t="s">
        <v>367</v>
      </c>
      <c r="F49" s="100" t="s">
        <v>93</v>
      </c>
      <c r="G49" s="248">
        <v>3.63</v>
      </c>
      <c r="H49" s="162">
        <v>1041057</v>
      </c>
      <c r="I49" s="249">
        <v>2.09</v>
      </c>
      <c r="J49" s="164">
        <f>'[1]TW empat'!$Z$41+'[2]RKPD TW IV PERBAIKAN'!$W$55+'[3]TW IV RIIL'!$X$49</f>
        <v>470945.5</v>
      </c>
      <c r="K49" s="250">
        <v>2.59</v>
      </c>
      <c r="L49" s="251">
        <f>SUM(L50:L51)</f>
        <v>163526.9</v>
      </c>
      <c r="M49" s="250">
        <v>2.59</v>
      </c>
      <c r="N49" s="278">
        <f>SUM(N50:N51)</f>
        <v>163526.9</v>
      </c>
      <c r="O49" s="278">
        <f>SUM(O50:O51)</f>
        <v>81088.95</v>
      </c>
      <c r="P49" s="279">
        <v>2.09</v>
      </c>
      <c r="Q49" s="252">
        <f>SUM(Q50:Q51)</f>
        <v>0</v>
      </c>
      <c r="R49" s="280">
        <v>0.12</v>
      </c>
      <c r="S49" s="252">
        <v>0</v>
      </c>
      <c r="T49" s="280">
        <v>0.27</v>
      </c>
      <c r="U49" s="252">
        <f>SUM(U50:U51)</f>
        <v>79766.95</v>
      </c>
      <c r="V49" s="281">
        <v>5.8000000000000003E-2</v>
      </c>
      <c r="W49" s="252">
        <f>SUM(W50:W51)</f>
        <v>0</v>
      </c>
      <c r="X49" s="282">
        <f t="shared" si="13"/>
        <v>2.5379999999999998</v>
      </c>
      <c r="Y49" s="282">
        <f>Q49+S49+U49+W49</f>
        <v>79766.95</v>
      </c>
      <c r="Z49" s="132">
        <f t="shared" si="14"/>
        <v>97.992277992277991</v>
      </c>
      <c r="AA49" s="132">
        <f>Y49/O49*100</f>
        <v>98.36969155476794</v>
      </c>
      <c r="AB49" s="170">
        <f t="shared" si="15"/>
        <v>4.6280000000000001</v>
      </c>
      <c r="AC49" s="125">
        <f>J49+Y49</f>
        <v>550712.44999999995</v>
      </c>
      <c r="AD49" s="195">
        <f>AB49/G49*100</f>
        <v>127.49311294765842</v>
      </c>
      <c r="AE49" s="172">
        <f>AC49/H49*100</f>
        <v>52.899356135158783</v>
      </c>
      <c r="AF49" s="1056" t="s">
        <v>416</v>
      </c>
      <c r="AG49" s="1057"/>
    </row>
    <row r="50" spans="2:35" ht="51" x14ac:dyDescent="0.25">
      <c r="B50" s="137">
        <v>27</v>
      </c>
      <c r="C50" s="230" t="s">
        <v>235</v>
      </c>
      <c r="D50" s="138" t="s">
        <v>368</v>
      </c>
      <c r="E50" s="139" t="s">
        <v>369</v>
      </c>
      <c r="F50" s="7" t="s">
        <v>320</v>
      </c>
      <c r="G50" s="262"/>
      <c r="H50" s="232"/>
      <c r="I50" s="143"/>
      <c r="J50" s="144"/>
      <c r="K50" s="19">
        <v>25</v>
      </c>
      <c r="L50" s="9">
        <v>64999.95</v>
      </c>
      <c r="M50" s="19">
        <v>15</v>
      </c>
      <c r="N50" s="9">
        <v>64999.95</v>
      </c>
      <c r="O50" s="9">
        <v>0</v>
      </c>
      <c r="P50" s="238">
        <v>0</v>
      </c>
      <c r="Q50" s="148">
        <v>0</v>
      </c>
      <c r="R50" s="239">
        <v>0</v>
      </c>
      <c r="S50" s="148">
        <f>+S49</f>
        <v>0</v>
      </c>
      <c r="T50" s="239">
        <v>0</v>
      </c>
      <c r="U50" s="149">
        <v>0</v>
      </c>
      <c r="V50" s="239">
        <v>0</v>
      </c>
      <c r="W50" s="150">
        <v>0</v>
      </c>
      <c r="X50" s="147">
        <f t="shared" si="13"/>
        <v>0</v>
      </c>
      <c r="Y50" s="364">
        <f t="shared" si="12"/>
        <v>0</v>
      </c>
      <c r="Z50" s="151">
        <f t="shared" si="14"/>
        <v>0</v>
      </c>
      <c r="AA50" s="151">
        <v>0</v>
      </c>
      <c r="AB50" s="153">
        <f t="shared" si="15"/>
        <v>0</v>
      </c>
      <c r="AC50" s="154"/>
      <c r="AD50" s="198"/>
      <c r="AE50" s="199"/>
    </row>
    <row r="51" spans="2:35" ht="51" x14ac:dyDescent="0.25">
      <c r="B51" s="283">
        <v>28</v>
      </c>
      <c r="C51" s="230" t="s">
        <v>236</v>
      </c>
      <c r="D51" s="138" t="s">
        <v>370</v>
      </c>
      <c r="E51" s="139" t="s">
        <v>371</v>
      </c>
      <c r="F51" s="7" t="s">
        <v>372</v>
      </c>
      <c r="G51" s="262"/>
      <c r="H51" s="232"/>
      <c r="I51" s="143"/>
      <c r="J51" s="144"/>
      <c r="K51" s="19">
        <v>2</v>
      </c>
      <c r="L51" s="9">
        <v>98526.95</v>
      </c>
      <c r="M51" s="19">
        <v>1</v>
      </c>
      <c r="N51" s="284">
        <v>98526.95</v>
      </c>
      <c r="O51" s="284">
        <v>81088.95</v>
      </c>
      <c r="P51" s="238">
        <v>0</v>
      </c>
      <c r="Q51" s="148">
        <v>0</v>
      </c>
      <c r="R51" s="239">
        <v>0</v>
      </c>
      <c r="S51" s="148">
        <f>+S50</f>
        <v>0</v>
      </c>
      <c r="T51" s="239">
        <v>0</v>
      </c>
      <c r="U51" s="149">
        <v>79766.95</v>
      </c>
      <c r="V51" s="239">
        <v>1</v>
      </c>
      <c r="W51" s="150">
        <v>0</v>
      </c>
      <c r="X51" s="147">
        <f t="shared" si="13"/>
        <v>1</v>
      </c>
      <c r="Y51" s="364">
        <f t="shared" si="12"/>
        <v>79766.95</v>
      </c>
      <c r="Z51" s="151">
        <f t="shared" si="14"/>
        <v>100</v>
      </c>
      <c r="AA51" s="152">
        <f>Y51/O51*100</f>
        <v>98.36969155476794</v>
      </c>
      <c r="AB51" s="153">
        <f t="shared" si="15"/>
        <v>1</v>
      </c>
      <c r="AC51" s="154"/>
      <c r="AD51" s="198"/>
      <c r="AE51" s="199"/>
      <c r="AF51" s="366"/>
    </row>
    <row r="52" spans="2:35" s="136" customFormat="1" ht="38.25" x14ac:dyDescent="0.25">
      <c r="B52" s="99"/>
      <c r="C52" s="246" t="s">
        <v>217</v>
      </c>
      <c r="D52" s="119" t="s">
        <v>373</v>
      </c>
      <c r="E52" s="182" t="s">
        <v>374</v>
      </c>
      <c r="F52" s="100" t="s">
        <v>93</v>
      </c>
      <c r="G52" s="163">
        <v>100</v>
      </c>
      <c r="H52" s="162">
        <v>550000</v>
      </c>
      <c r="I52" s="249">
        <v>48.12</v>
      </c>
      <c r="J52" s="164">
        <f>'[2]RKPD TW IV PERBAIKAN'!$W$58+'[3]TW IV RIIL'!$X$52</f>
        <v>98416.8</v>
      </c>
      <c r="K52" s="285">
        <v>70.37</v>
      </c>
      <c r="L52" s="251">
        <f>SUM(L53)</f>
        <v>109999.8</v>
      </c>
      <c r="M52" s="285">
        <v>70.37</v>
      </c>
      <c r="N52" s="278">
        <f>SUM(N53)</f>
        <v>109999.8</v>
      </c>
      <c r="O52" s="278">
        <f>SUM(O53)</f>
        <v>75949.8</v>
      </c>
      <c r="P52" s="279">
        <v>48.12</v>
      </c>
      <c r="Q52" s="286">
        <f>+Q53</f>
        <v>805.9</v>
      </c>
      <c r="R52" s="287">
        <v>48.14</v>
      </c>
      <c r="S52" s="286">
        <f>+S53</f>
        <v>74158.8</v>
      </c>
      <c r="T52" s="274">
        <v>0</v>
      </c>
      <c r="U52" s="288">
        <f>U53</f>
        <v>0</v>
      </c>
      <c r="V52" s="274">
        <v>0</v>
      </c>
      <c r="W52" s="162">
        <f>W53</f>
        <v>0</v>
      </c>
      <c r="X52" s="276">
        <f>P52+R52+T52+V52</f>
        <v>96.259999999999991</v>
      </c>
      <c r="Y52" s="282">
        <f>Q52+S52+U52+W52</f>
        <v>74964.7</v>
      </c>
      <c r="Z52" s="171">
        <f>X52/M52*100</f>
        <v>136.79124626971719</v>
      </c>
      <c r="AA52" s="169">
        <f>Y52/O52*100</f>
        <v>98.702959059800023</v>
      </c>
      <c r="AB52" s="170">
        <f t="shared" si="15"/>
        <v>144.38</v>
      </c>
      <c r="AC52" s="125">
        <f>J52+Y52</f>
        <v>173381.5</v>
      </c>
      <c r="AD52" s="195">
        <f>AB52/G52*100</f>
        <v>144.38</v>
      </c>
      <c r="AE52" s="172">
        <f>AC52/H52*100</f>
        <v>31.52390909090909</v>
      </c>
    </row>
    <row r="53" spans="2:35" ht="25.5" x14ac:dyDescent="0.25">
      <c r="B53" s="137">
        <v>29</v>
      </c>
      <c r="C53" s="230" t="s">
        <v>218</v>
      </c>
      <c r="D53" s="138" t="s">
        <v>375</v>
      </c>
      <c r="E53" s="139" t="s">
        <v>376</v>
      </c>
      <c r="F53" s="7" t="s">
        <v>119</v>
      </c>
      <c r="G53" s="231"/>
      <c r="H53" s="232"/>
      <c r="I53" s="143"/>
      <c r="J53" s="144"/>
      <c r="K53" s="19">
        <v>19</v>
      </c>
      <c r="L53" s="9">
        <v>109999.8</v>
      </c>
      <c r="M53" s="19">
        <v>19</v>
      </c>
      <c r="N53" s="9">
        <v>109999.8</v>
      </c>
      <c r="O53" s="9">
        <v>75949.8</v>
      </c>
      <c r="P53" s="238">
        <v>0</v>
      </c>
      <c r="Q53" s="148">
        <v>805.9</v>
      </c>
      <c r="R53" s="239">
        <v>13</v>
      </c>
      <c r="S53" s="149">
        <v>74158.8</v>
      </c>
      <c r="T53" s="239">
        <v>0</v>
      </c>
      <c r="U53" s="149">
        <v>0</v>
      </c>
      <c r="V53" s="239">
        <v>0</v>
      </c>
      <c r="W53" s="150">
        <v>0</v>
      </c>
      <c r="X53" s="147">
        <f t="shared" si="13"/>
        <v>13</v>
      </c>
      <c r="Y53" s="364">
        <f t="shared" si="12"/>
        <v>74964.7</v>
      </c>
      <c r="Z53" s="151">
        <f t="shared" si="14"/>
        <v>68.421052631578945</v>
      </c>
      <c r="AA53" s="152">
        <f>Y53/O53*100</f>
        <v>98.702959059800023</v>
      </c>
      <c r="AB53" s="153">
        <f t="shared" si="15"/>
        <v>13</v>
      </c>
      <c r="AC53" s="154"/>
      <c r="AD53" s="198"/>
      <c r="AE53" s="199"/>
      <c r="AF53">
        <f>6/13*100</f>
        <v>46.153846153846153</v>
      </c>
    </row>
    <row r="54" spans="2:35" s="136" customFormat="1" ht="89.25" x14ac:dyDescent="0.25">
      <c r="B54" s="99"/>
      <c r="C54" s="246" t="s">
        <v>240</v>
      </c>
      <c r="D54" s="119" t="s">
        <v>377</v>
      </c>
      <c r="E54" s="289" t="s">
        <v>378</v>
      </c>
      <c r="F54" s="100" t="s">
        <v>93</v>
      </c>
      <c r="G54" s="248">
        <v>68.06</v>
      </c>
      <c r="H54" s="162">
        <v>452292</v>
      </c>
      <c r="I54" s="249">
        <v>36.840000000000003</v>
      </c>
      <c r="J54" s="164">
        <f>'[1]TW empat'!$Z$44+'[2]RKPD TW IV PERBAIKAN'!$W$60+'[3]TW IV RIIL'!$X$54</f>
        <v>196292.32500000001</v>
      </c>
      <c r="K54" s="250">
        <v>47.12</v>
      </c>
      <c r="L54" s="251">
        <f>SUM(L55)</f>
        <v>11999.95</v>
      </c>
      <c r="M54" s="250">
        <v>47.12</v>
      </c>
      <c r="N54" s="251">
        <f>N55</f>
        <v>11999.95</v>
      </c>
      <c r="O54" s="251">
        <f>O55</f>
        <v>11999.95</v>
      </c>
      <c r="P54" s="271">
        <v>36.840000000000003</v>
      </c>
      <c r="Q54" s="272">
        <v>0</v>
      </c>
      <c r="R54" s="272">
        <v>0</v>
      </c>
      <c r="S54" s="272">
        <v>0</v>
      </c>
      <c r="T54" s="274">
        <v>0</v>
      </c>
      <c r="U54" s="290">
        <f>U55</f>
        <v>0</v>
      </c>
      <c r="V54" s="274">
        <v>10.47</v>
      </c>
      <c r="W54" s="275">
        <f>W55</f>
        <v>11999.95</v>
      </c>
      <c r="X54" s="276">
        <f t="shared" si="13"/>
        <v>47.31</v>
      </c>
      <c r="Y54" s="367">
        <f>Q54+S54+U54+W54</f>
        <v>11999.95</v>
      </c>
      <c r="Z54" s="132">
        <f t="shared" si="14"/>
        <v>100.40322580645163</v>
      </c>
      <c r="AA54" s="132">
        <v>0</v>
      </c>
      <c r="AB54" s="277">
        <f t="shared" si="15"/>
        <v>84.15</v>
      </c>
      <c r="AC54" s="125">
        <f>J54+Y54</f>
        <v>208292.27500000002</v>
      </c>
      <c r="AD54" s="195">
        <f>AB54/G54*100</f>
        <v>123.64090508374963</v>
      </c>
      <c r="AE54" s="172">
        <f>AC54/H54*100</f>
        <v>46.052610923916419</v>
      </c>
    </row>
    <row r="55" spans="2:35" ht="63.75" x14ac:dyDescent="0.25">
      <c r="B55" s="283">
        <v>30</v>
      </c>
      <c r="C55" s="230" t="s">
        <v>241</v>
      </c>
      <c r="D55" s="138" t="s">
        <v>379</v>
      </c>
      <c r="E55" s="291" t="s">
        <v>380</v>
      </c>
      <c r="F55" s="7" t="s">
        <v>320</v>
      </c>
      <c r="G55" s="262"/>
      <c r="H55" s="232"/>
      <c r="I55" s="143"/>
      <c r="J55" s="144"/>
      <c r="K55" s="19">
        <v>20</v>
      </c>
      <c r="L55" s="9">
        <v>11999.95</v>
      </c>
      <c r="M55" s="19">
        <v>20</v>
      </c>
      <c r="N55" s="9">
        <v>11999.95</v>
      </c>
      <c r="O55" s="9">
        <v>11999.95</v>
      </c>
      <c r="P55" s="238">
        <v>0</v>
      </c>
      <c r="Q55" s="148">
        <v>0</v>
      </c>
      <c r="R55" s="292">
        <v>0</v>
      </c>
      <c r="S55" s="148">
        <v>0</v>
      </c>
      <c r="T55" s="292">
        <v>0</v>
      </c>
      <c r="U55" s="292">
        <v>0</v>
      </c>
      <c r="V55" s="292">
        <v>20</v>
      </c>
      <c r="W55" s="150">
        <v>11999.95</v>
      </c>
      <c r="X55" s="147">
        <f t="shared" si="13"/>
        <v>20</v>
      </c>
      <c r="Y55" s="364">
        <f>Q55+S55+U55+W55</f>
        <v>11999.95</v>
      </c>
      <c r="Z55" s="151">
        <f t="shared" si="14"/>
        <v>100</v>
      </c>
      <c r="AA55" s="151">
        <v>0</v>
      </c>
      <c r="AB55" s="153">
        <f t="shared" si="15"/>
        <v>20</v>
      </c>
      <c r="AC55" s="154"/>
      <c r="AD55" s="198"/>
      <c r="AE55" s="199"/>
    </row>
    <row r="56" spans="2:35" s="136" customFormat="1" ht="51" x14ac:dyDescent="0.25">
      <c r="B56" s="99"/>
      <c r="C56" s="246" t="s">
        <v>210</v>
      </c>
      <c r="D56" s="119" t="s">
        <v>381</v>
      </c>
      <c r="E56" s="293" t="s">
        <v>382</v>
      </c>
      <c r="F56" s="100" t="s">
        <v>93</v>
      </c>
      <c r="G56" s="183">
        <v>100</v>
      </c>
      <c r="H56" s="162">
        <v>4578929</v>
      </c>
      <c r="I56" s="163">
        <v>100</v>
      </c>
      <c r="J56" s="164">
        <f>'[1]TW empat'!$Z$46+'[2]RKPD TW IV PERBAIKAN'!$W$62+'[3]TW IV RIIL'!$X$56</f>
        <v>2075107.3499999999</v>
      </c>
      <c r="K56" s="165">
        <v>100</v>
      </c>
      <c r="L56" s="251">
        <f>SUM(L57:L63)</f>
        <v>744749.29999999993</v>
      </c>
      <c r="M56" s="165">
        <v>100</v>
      </c>
      <c r="N56" s="251">
        <f>SUM(N57:N63)</f>
        <v>744749.29999999993</v>
      </c>
      <c r="O56" s="251">
        <f>SUM(O57:O63)</f>
        <v>498510.45</v>
      </c>
      <c r="P56" s="279">
        <v>25</v>
      </c>
      <c r="Q56" s="162">
        <f>SUM(Q57:Q63)</f>
        <v>63920</v>
      </c>
      <c r="R56" s="162">
        <v>25</v>
      </c>
      <c r="S56" s="162">
        <f>SUM(S57:S63)</f>
        <v>30733.45</v>
      </c>
      <c r="T56" s="162">
        <v>10</v>
      </c>
      <c r="U56" s="162">
        <f>SUM(U57:U63)</f>
        <v>168311</v>
      </c>
      <c r="V56" s="162">
        <v>0</v>
      </c>
      <c r="W56" s="162">
        <f>SUM(W57:W63)</f>
        <v>230530</v>
      </c>
      <c r="X56" s="168">
        <f t="shared" si="13"/>
        <v>60</v>
      </c>
      <c r="Y56" s="282">
        <f>Q56+S56+U56+W56</f>
        <v>493494.45</v>
      </c>
      <c r="Z56" s="132">
        <f t="shared" si="14"/>
        <v>60</v>
      </c>
      <c r="AA56" s="169">
        <f>Y56/O56*100</f>
        <v>98.993802436839587</v>
      </c>
      <c r="AB56" s="170">
        <f t="shared" si="15"/>
        <v>160</v>
      </c>
      <c r="AC56" s="125">
        <f>J56+Y56</f>
        <v>2568601.7999999998</v>
      </c>
      <c r="AD56" s="195">
        <f>AB56/G56*100</f>
        <v>160</v>
      </c>
      <c r="AE56" s="172">
        <f>AC56/H56*100</f>
        <v>56.096126408599034</v>
      </c>
    </row>
    <row r="57" spans="2:35" ht="63.75" x14ac:dyDescent="0.25">
      <c r="B57" s="283">
        <v>31</v>
      </c>
      <c r="C57" s="230" t="s">
        <v>212</v>
      </c>
      <c r="D57" s="138" t="s">
        <v>383</v>
      </c>
      <c r="E57" s="291" t="s">
        <v>384</v>
      </c>
      <c r="F57" s="7" t="s">
        <v>94</v>
      </c>
      <c r="G57" s="262"/>
      <c r="H57" s="232"/>
      <c r="I57" s="143"/>
      <c r="J57" s="144"/>
      <c r="K57" s="19">
        <v>12</v>
      </c>
      <c r="L57" s="9">
        <v>370000</v>
      </c>
      <c r="M57" s="19">
        <v>12</v>
      </c>
      <c r="N57" s="9">
        <v>370000</v>
      </c>
      <c r="O57" s="9">
        <v>377101</v>
      </c>
      <c r="P57" s="147">
        <v>3</v>
      </c>
      <c r="Q57" s="148">
        <v>63920</v>
      </c>
      <c r="R57" s="239">
        <v>3</v>
      </c>
      <c r="S57" s="149">
        <v>30280</v>
      </c>
      <c r="T57" s="239">
        <v>0</v>
      </c>
      <c r="U57" s="149">
        <v>62400</v>
      </c>
      <c r="V57" s="239">
        <v>6</v>
      </c>
      <c r="W57" s="150">
        <v>219320</v>
      </c>
      <c r="X57" s="147">
        <f t="shared" si="13"/>
        <v>12</v>
      </c>
      <c r="Y57" s="364">
        <f t="shared" si="12"/>
        <v>375920</v>
      </c>
      <c r="Z57" s="151">
        <f t="shared" si="14"/>
        <v>100</v>
      </c>
      <c r="AA57" s="152">
        <f>Y57/O57*100</f>
        <v>99.686821302515767</v>
      </c>
      <c r="AB57" s="153">
        <f t="shared" si="15"/>
        <v>12</v>
      </c>
      <c r="AC57" s="154"/>
      <c r="AD57" s="198"/>
      <c r="AE57" s="199"/>
    </row>
    <row r="58" spans="2:35" ht="38.25" x14ac:dyDescent="0.25">
      <c r="B58" s="137">
        <v>32</v>
      </c>
      <c r="C58" s="230" t="s">
        <v>385</v>
      </c>
      <c r="D58" s="138" t="s">
        <v>386</v>
      </c>
      <c r="E58" s="291" t="s">
        <v>387</v>
      </c>
      <c r="F58" s="7" t="s">
        <v>320</v>
      </c>
      <c r="G58" s="269"/>
      <c r="H58" s="232"/>
      <c r="I58" s="143"/>
      <c r="J58" s="144"/>
      <c r="K58" s="19">
        <v>180</v>
      </c>
      <c r="L58" s="9">
        <v>36000</v>
      </c>
      <c r="M58" s="19">
        <v>210</v>
      </c>
      <c r="N58" s="9">
        <v>36000</v>
      </c>
      <c r="O58" s="9">
        <v>0</v>
      </c>
      <c r="P58" s="238">
        <v>0</v>
      </c>
      <c r="Q58" s="148">
        <v>0</v>
      </c>
      <c r="R58" s="239">
        <v>0</v>
      </c>
      <c r="S58" s="148">
        <v>0</v>
      </c>
      <c r="T58" s="239">
        <v>0</v>
      </c>
      <c r="U58" s="149">
        <v>0</v>
      </c>
      <c r="V58" s="239">
        <v>0</v>
      </c>
      <c r="W58" s="150">
        <v>0</v>
      </c>
      <c r="X58" s="147">
        <f t="shared" si="13"/>
        <v>0</v>
      </c>
      <c r="Y58" s="364">
        <f t="shared" si="12"/>
        <v>0</v>
      </c>
      <c r="Z58" s="151">
        <f t="shared" si="14"/>
        <v>0</v>
      </c>
      <c r="AA58" s="151">
        <v>0</v>
      </c>
      <c r="AB58" s="153">
        <f t="shared" si="15"/>
        <v>0</v>
      </c>
      <c r="AC58" s="154"/>
      <c r="AD58" s="198"/>
      <c r="AE58" s="199"/>
    </row>
    <row r="59" spans="2:35" ht="63.75" x14ac:dyDescent="0.25">
      <c r="B59" s="283">
        <v>33</v>
      </c>
      <c r="C59" s="230" t="s">
        <v>228</v>
      </c>
      <c r="D59" s="294" t="s">
        <v>388</v>
      </c>
      <c r="E59" s="139" t="s">
        <v>389</v>
      </c>
      <c r="F59" s="7" t="s">
        <v>320</v>
      </c>
      <c r="G59" s="262"/>
      <c r="H59" s="232"/>
      <c r="I59" s="143"/>
      <c r="J59" s="144"/>
      <c r="K59" s="19">
        <v>200</v>
      </c>
      <c r="L59" s="9">
        <v>119999.85</v>
      </c>
      <c r="M59" s="19">
        <v>200</v>
      </c>
      <c r="N59" s="9">
        <v>119999.85</v>
      </c>
      <c r="O59" s="9">
        <v>44500</v>
      </c>
      <c r="P59" s="238">
        <v>5</v>
      </c>
      <c r="Q59" s="148">
        <v>0</v>
      </c>
      <c r="R59" s="239">
        <v>200</v>
      </c>
      <c r="S59" s="148">
        <v>0</v>
      </c>
      <c r="T59" s="239">
        <v>1</v>
      </c>
      <c r="U59" s="149">
        <v>41100</v>
      </c>
      <c r="V59" s="239">
        <v>1</v>
      </c>
      <c r="W59" s="150">
        <v>3000</v>
      </c>
      <c r="X59" s="147">
        <f t="shared" si="13"/>
        <v>207</v>
      </c>
      <c r="Y59" s="364">
        <f t="shared" si="12"/>
        <v>44100</v>
      </c>
      <c r="Z59" s="151">
        <f t="shared" si="14"/>
        <v>103.49999999999999</v>
      </c>
      <c r="AA59" s="152">
        <f>Y59/O59*100</f>
        <v>99.101123595505612</v>
      </c>
      <c r="AB59" s="153">
        <f t="shared" si="15"/>
        <v>207</v>
      </c>
      <c r="AC59" s="154"/>
      <c r="AD59" s="198"/>
      <c r="AE59" s="199"/>
    </row>
    <row r="60" spans="2:35" ht="63.75" x14ac:dyDescent="0.25">
      <c r="B60" s="137">
        <v>34</v>
      </c>
      <c r="C60" s="230" t="s">
        <v>231</v>
      </c>
      <c r="D60" s="294" t="s">
        <v>169</v>
      </c>
      <c r="E60" s="139" t="s">
        <v>390</v>
      </c>
      <c r="F60" s="7" t="s">
        <v>127</v>
      </c>
      <c r="G60" s="141"/>
      <c r="H60" s="232"/>
      <c r="I60" s="143"/>
      <c r="J60" s="144"/>
      <c r="K60" s="19">
        <v>60</v>
      </c>
      <c r="L60" s="9">
        <v>52750</v>
      </c>
      <c r="M60" s="19">
        <v>60</v>
      </c>
      <c r="N60" s="9">
        <v>52750</v>
      </c>
      <c r="O60" s="9">
        <v>8210</v>
      </c>
      <c r="P60" s="238">
        <v>0</v>
      </c>
      <c r="Q60" s="148">
        <v>0</v>
      </c>
      <c r="R60" s="239">
        <v>0</v>
      </c>
      <c r="S60" s="148">
        <v>0</v>
      </c>
      <c r="T60" s="239">
        <v>0</v>
      </c>
      <c r="U60" s="149">
        <v>0</v>
      </c>
      <c r="V60" s="239">
        <v>6</v>
      </c>
      <c r="W60" s="150">
        <v>8210</v>
      </c>
      <c r="X60" s="147">
        <f t="shared" si="13"/>
        <v>6</v>
      </c>
      <c r="Y60" s="364">
        <f t="shared" si="12"/>
        <v>8210</v>
      </c>
      <c r="Z60" s="151">
        <f t="shared" si="14"/>
        <v>10</v>
      </c>
      <c r="AA60" s="152">
        <f>Y60/O60*100</f>
        <v>100</v>
      </c>
      <c r="AB60" s="153">
        <f t="shared" si="15"/>
        <v>6</v>
      </c>
      <c r="AC60" s="154"/>
      <c r="AD60" s="198"/>
      <c r="AE60" s="199"/>
    </row>
    <row r="61" spans="2:35" ht="51" x14ac:dyDescent="0.25">
      <c r="B61" s="283">
        <v>35</v>
      </c>
      <c r="C61" s="295" t="s">
        <v>230</v>
      </c>
      <c r="D61" s="138" t="s">
        <v>28</v>
      </c>
      <c r="E61" s="139" t="s">
        <v>391</v>
      </c>
      <c r="F61" s="7" t="s">
        <v>196</v>
      </c>
      <c r="G61" s="141"/>
      <c r="H61" s="232"/>
      <c r="I61" s="143"/>
      <c r="J61" s="144"/>
      <c r="K61" s="19">
        <v>24</v>
      </c>
      <c r="L61" s="9">
        <v>41000</v>
      </c>
      <c r="M61" s="19">
        <v>50</v>
      </c>
      <c r="N61" s="9">
        <v>41000</v>
      </c>
      <c r="O61" s="9">
        <v>0</v>
      </c>
      <c r="P61" s="238">
        <v>0</v>
      </c>
      <c r="Q61" s="148">
        <v>0</v>
      </c>
      <c r="R61" s="239">
        <v>0</v>
      </c>
      <c r="S61" s="148">
        <v>0</v>
      </c>
      <c r="T61" s="239">
        <v>0</v>
      </c>
      <c r="U61" s="149">
        <v>0</v>
      </c>
      <c r="V61" s="239">
        <v>0</v>
      </c>
      <c r="W61" s="150">
        <v>0</v>
      </c>
      <c r="X61" s="147">
        <f t="shared" si="13"/>
        <v>0</v>
      </c>
      <c r="Y61" s="364">
        <f t="shared" si="12"/>
        <v>0</v>
      </c>
      <c r="Z61" s="151">
        <f t="shared" si="14"/>
        <v>0</v>
      </c>
      <c r="AA61" s="151">
        <v>0</v>
      </c>
      <c r="AB61" s="153">
        <f t="shared" si="15"/>
        <v>0</v>
      </c>
      <c r="AC61" s="154"/>
      <c r="AD61" s="198"/>
      <c r="AE61" s="199"/>
    </row>
    <row r="62" spans="2:35" ht="114.75" x14ac:dyDescent="0.25">
      <c r="B62" s="137">
        <v>36</v>
      </c>
      <c r="C62" s="230" t="s">
        <v>229</v>
      </c>
      <c r="D62" s="138" t="s">
        <v>392</v>
      </c>
      <c r="E62" s="139" t="s">
        <v>393</v>
      </c>
      <c r="F62" s="15" t="s">
        <v>320</v>
      </c>
      <c r="G62" s="262"/>
      <c r="H62" s="232"/>
      <c r="I62" s="143"/>
      <c r="J62" s="144"/>
      <c r="K62" s="233">
        <v>75</v>
      </c>
      <c r="L62" s="234">
        <v>99999.45</v>
      </c>
      <c r="M62" s="233">
        <v>50</v>
      </c>
      <c r="N62" s="234">
        <v>99999.45</v>
      </c>
      <c r="O62" s="9">
        <v>68699.45</v>
      </c>
      <c r="P62" s="150">
        <v>0</v>
      </c>
      <c r="Q62" s="148">
        <v>0</v>
      </c>
      <c r="R62" s="239">
        <v>0</v>
      </c>
      <c r="S62" s="149">
        <v>453.45</v>
      </c>
      <c r="T62" s="239">
        <v>0</v>
      </c>
      <c r="U62" s="149">
        <v>64811</v>
      </c>
      <c r="V62" s="239">
        <v>50</v>
      </c>
      <c r="W62" s="150">
        <v>0</v>
      </c>
      <c r="X62" s="147">
        <f t="shared" si="13"/>
        <v>50</v>
      </c>
      <c r="Y62" s="364">
        <f t="shared" si="12"/>
        <v>65264.45</v>
      </c>
      <c r="Z62" s="151">
        <f t="shared" si="14"/>
        <v>100</v>
      </c>
      <c r="AA62" s="151">
        <v>0</v>
      </c>
      <c r="AB62" s="153">
        <f t="shared" si="15"/>
        <v>50</v>
      </c>
      <c r="AC62" s="154"/>
      <c r="AD62" s="198"/>
      <c r="AE62" s="199"/>
    </row>
    <row r="63" spans="2:35" s="136" customFormat="1" ht="38.25" x14ac:dyDescent="0.25">
      <c r="B63" s="283">
        <v>37</v>
      </c>
      <c r="C63" s="230" t="s">
        <v>211</v>
      </c>
      <c r="D63" s="138" t="s">
        <v>29</v>
      </c>
      <c r="E63" s="139" t="s">
        <v>394</v>
      </c>
      <c r="F63" s="7" t="s">
        <v>320</v>
      </c>
      <c r="G63" s="262"/>
      <c r="H63" s="232"/>
      <c r="I63" s="143"/>
      <c r="J63" s="144"/>
      <c r="K63" s="19">
        <v>125</v>
      </c>
      <c r="L63" s="9">
        <v>25000</v>
      </c>
      <c r="M63" s="19">
        <v>125</v>
      </c>
      <c r="N63" s="9">
        <v>25000</v>
      </c>
      <c r="O63" s="9">
        <v>0</v>
      </c>
      <c r="P63" s="238">
        <v>0</v>
      </c>
      <c r="Q63" s="148">
        <v>0</v>
      </c>
      <c r="R63" s="239">
        <v>0</v>
      </c>
      <c r="S63" s="148">
        <v>0</v>
      </c>
      <c r="T63" s="239">
        <v>0</v>
      </c>
      <c r="U63" s="149">
        <v>0</v>
      </c>
      <c r="V63" s="239">
        <v>0</v>
      </c>
      <c r="W63" s="150">
        <v>0</v>
      </c>
      <c r="X63" s="147">
        <f t="shared" si="13"/>
        <v>0</v>
      </c>
      <c r="Y63" s="364">
        <f t="shared" si="12"/>
        <v>0</v>
      </c>
      <c r="Z63" s="151">
        <f t="shared" si="14"/>
        <v>0</v>
      </c>
      <c r="AA63" s="152">
        <v>0</v>
      </c>
      <c r="AB63" s="153">
        <f t="shared" si="15"/>
        <v>0</v>
      </c>
      <c r="AC63" s="154"/>
      <c r="AD63" s="198"/>
      <c r="AE63" s="199"/>
    </row>
    <row r="64" spans="2:35" ht="38.25" x14ac:dyDescent="0.25">
      <c r="B64" s="296"/>
      <c r="C64" s="246" t="s">
        <v>219</v>
      </c>
      <c r="D64" s="119" t="s">
        <v>395</v>
      </c>
      <c r="E64" s="182" t="s">
        <v>396</v>
      </c>
      <c r="F64" s="160" t="s">
        <v>93</v>
      </c>
      <c r="G64" s="297">
        <v>100</v>
      </c>
      <c r="H64" s="162">
        <v>170000</v>
      </c>
      <c r="I64" s="297">
        <v>100</v>
      </c>
      <c r="J64" s="184">
        <f>'[3]TW IV RIIL'!$X$65</f>
        <v>9892.2999999999993</v>
      </c>
      <c r="K64" s="103">
        <v>100</v>
      </c>
      <c r="L64" s="251">
        <f>SUM(L65:L67)</f>
        <v>54964.05</v>
      </c>
      <c r="M64" s="103">
        <v>100</v>
      </c>
      <c r="N64" s="251">
        <f>SUM(N65:N67)</f>
        <v>54964.05</v>
      </c>
      <c r="O64" s="251">
        <f>SUM(O65:O67)</f>
        <v>37132.050000000003</v>
      </c>
      <c r="P64" s="186">
        <v>25</v>
      </c>
      <c r="Q64" s="298">
        <f>SUM(Q65:Q67)</f>
        <v>8428.15</v>
      </c>
      <c r="R64" s="299">
        <v>25</v>
      </c>
      <c r="S64" s="298">
        <f>SUM(S65:S67)</f>
        <v>2679.34</v>
      </c>
      <c r="T64" s="299">
        <v>25</v>
      </c>
      <c r="U64" s="299">
        <f>SUM(U65:U67)</f>
        <v>16488.3</v>
      </c>
      <c r="V64" s="186">
        <v>25</v>
      </c>
      <c r="W64" s="187">
        <f>SUM(W65:W67)</f>
        <v>8684.84</v>
      </c>
      <c r="X64" s="168">
        <f t="shared" si="13"/>
        <v>100</v>
      </c>
      <c r="Y64" s="282">
        <f>Q64+S64+U64+W64</f>
        <v>36280.630000000005</v>
      </c>
      <c r="Z64" s="171">
        <f t="shared" si="14"/>
        <v>100</v>
      </c>
      <c r="AA64" s="169">
        <f>Y64/O64*100</f>
        <v>97.707048223838981</v>
      </c>
      <c r="AB64" s="170">
        <f t="shared" si="15"/>
        <v>200</v>
      </c>
      <c r="AC64" s="125">
        <f>J64+Y64</f>
        <v>46172.930000000008</v>
      </c>
      <c r="AD64" s="195">
        <f>AB64/G64*100</f>
        <v>200</v>
      </c>
      <c r="AE64" s="172">
        <f>AC64/H64*100</f>
        <v>27.160547058823536</v>
      </c>
      <c r="AI64" s="300">
        <f>Q68+S68</f>
        <v>1708021.568</v>
      </c>
    </row>
    <row r="65" spans="2:35" ht="38.25" x14ac:dyDescent="0.25">
      <c r="B65" s="301">
        <v>38</v>
      </c>
      <c r="C65" s="302" t="s">
        <v>397</v>
      </c>
      <c r="D65" s="303" t="s">
        <v>184</v>
      </c>
      <c r="E65" s="304" t="s">
        <v>398</v>
      </c>
      <c r="F65" s="140" t="s">
        <v>351</v>
      </c>
      <c r="G65" s="141"/>
      <c r="H65" s="142"/>
      <c r="I65" s="28"/>
      <c r="J65" s="177"/>
      <c r="K65" s="145">
        <v>2</v>
      </c>
      <c r="L65" s="150">
        <v>14964.4</v>
      </c>
      <c r="M65" s="145">
        <v>2</v>
      </c>
      <c r="N65" s="150">
        <v>14964.4</v>
      </c>
      <c r="O65" s="150">
        <v>14964.4</v>
      </c>
      <c r="P65" s="179">
        <v>0</v>
      </c>
      <c r="Q65" s="178">
        <v>5804.3</v>
      </c>
      <c r="R65" s="179">
        <v>0</v>
      </c>
      <c r="S65" s="148">
        <v>0</v>
      </c>
      <c r="T65" s="179">
        <v>0</v>
      </c>
      <c r="U65" s="305">
        <v>6900</v>
      </c>
      <c r="V65" s="179">
        <v>2</v>
      </c>
      <c r="W65" s="305">
        <v>1409.84</v>
      </c>
      <c r="X65" s="147">
        <f t="shared" si="13"/>
        <v>2</v>
      </c>
      <c r="Y65" s="368">
        <f t="shared" si="12"/>
        <v>14114.14</v>
      </c>
      <c r="Z65" s="306">
        <f t="shared" si="14"/>
        <v>100</v>
      </c>
      <c r="AA65" s="307">
        <f>Y65/O65*100</f>
        <v>94.31811499291652</v>
      </c>
      <c r="AB65" s="308"/>
      <c r="AC65" s="309"/>
      <c r="AD65" s="310"/>
      <c r="AE65" s="311"/>
      <c r="AI65" s="300"/>
    </row>
    <row r="66" spans="2:35" ht="25.5" x14ac:dyDescent="0.25">
      <c r="B66" s="301">
        <v>39</v>
      </c>
      <c r="C66" s="302" t="s">
        <v>399</v>
      </c>
      <c r="D66" s="303" t="s">
        <v>400</v>
      </c>
      <c r="E66" s="139" t="s">
        <v>401</v>
      </c>
      <c r="F66" s="140" t="s">
        <v>351</v>
      </c>
      <c r="G66" s="28"/>
      <c r="H66" s="150"/>
      <c r="I66" s="28"/>
      <c r="J66" s="177"/>
      <c r="K66" s="19">
        <v>1</v>
      </c>
      <c r="L66" s="150">
        <v>24999.9</v>
      </c>
      <c r="M66" s="19">
        <v>1</v>
      </c>
      <c r="N66" s="150">
        <v>24999.9</v>
      </c>
      <c r="O66" s="150">
        <v>10517.9</v>
      </c>
      <c r="P66" s="179">
        <v>0</v>
      </c>
      <c r="Q66" s="178">
        <v>2623.85</v>
      </c>
      <c r="R66" s="179">
        <v>0</v>
      </c>
      <c r="S66" s="148">
        <v>0</v>
      </c>
      <c r="T66" s="179">
        <v>1</v>
      </c>
      <c r="U66" s="305">
        <v>618.29999999999995</v>
      </c>
      <c r="V66" s="179">
        <v>0</v>
      </c>
      <c r="W66" s="305">
        <v>7275</v>
      </c>
      <c r="X66" s="147">
        <f t="shared" si="13"/>
        <v>1</v>
      </c>
      <c r="Y66" s="368">
        <f t="shared" si="12"/>
        <v>10517.15</v>
      </c>
      <c r="Z66" s="306">
        <f t="shared" si="14"/>
        <v>100</v>
      </c>
      <c r="AA66" s="307">
        <f>Y66/O66*100</f>
        <v>99.992869299004553</v>
      </c>
      <c r="AB66" s="308"/>
      <c r="AC66" s="309"/>
      <c r="AD66" s="310"/>
      <c r="AE66" s="311"/>
      <c r="AI66" s="300"/>
    </row>
    <row r="67" spans="2:35" s="317" customFormat="1" ht="38.25" x14ac:dyDescent="0.25">
      <c r="B67" s="312">
        <v>40</v>
      </c>
      <c r="C67" s="302" t="s">
        <v>402</v>
      </c>
      <c r="D67" s="303" t="s">
        <v>186</v>
      </c>
      <c r="E67" s="139" t="s">
        <v>403</v>
      </c>
      <c r="F67" s="140" t="s">
        <v>351</v>
      </c>
      <c r="G67" s="141"/>
      <c r="H67" s="142"/>
      <c r="I67" s="28"/>
      <c r="J67" s="177"/>
      <c r="K67" s="145">
        <v>1</v>
      </c>
      <c r="L67" s="146">
        <v>14999.75</v>
      </c>
      <c r="M67" s="145">
        <v>1</v>
      </c>
      <c r="N67" s="146">
        <v>14999.75</v>
      </c>
      <c r="O67" s="146">
        <v>11649.75</v>
      </c>
      <c r="P67" s="179">
        <v>0</v>
      </c>
      <c r="Q67" s="178">
        <v>0</v>
      </c>
      <c r="R67" s="179">
        <v>1</v>
      </c>
      <c r="S67" s="305">
        <v>2679.34</v>
      </c>
      <c r="T67" s="179">
        <v>0</v>
      </c>
      <c r="U67" s="305">
        <v>8970</v>
      </c>
      <c r="V67" s="179">
        <v>0</v>
      </c>
      <c r="W67" s="305">
        <v>0</v>
      </c>
      <c r="X67" s="147">
        <f>P67+R67+T67+V67</f>
        <v>1</v>
      </c>
      <c r="Y67" s="368">
        <f>Q67+S67+U67+W67</f>
        <v>11649.34</v>
      </c>
      <c r="Z67" s="306">
        <f>X67/M67*100</f>
        <v>100</v>
      </c>
      <c r="AA67" s="307">
        <f>Y67/O67*100</f>
        <v>99.996480611171918</v>
      </c>
      <c r="AB67" s="313">
        <f>I67+X67</f>
        <v>1</v>
      </c>
      <c r="AC67" s="314">
        <f>J67+Y67</f>
        <v>11649.34</v>
      </c>
      <c r="AD67" s="315" t="e">
        <f>AB67/G67*100</f>
        <v>#DIV/0!</v>
      </c>
      <c r="AE67" s="316"/>
    </row>
    <row r="68" spans="2:35" x14ac:dyDescent="0.25">
      <c r="B68" s="318" t="s">
        <v>404</v>
      </c>
      <c r="C68" s="319"/>
      <c r="D68" s="320"/>
      <c r="E68" s="320"/>
      <c r="F68" s="321"/>
      <c r="G68" s="322"/>
      <c r="H68" s="323">
        <f>H12+H20+H26+H28+H30+H38+H47+H49+H54+H56+H64+H52</f>
        <v>35827724</v>
      </c>
      <c r="I68" s="323"/>
      <c r="J68" s="323">
        <f>J12+J20+J26+J28+J30+J38+J47+J49+J54+J56+J64+J52</f>
        <v>15065930.544</v>
      </c>
      <c r="K68" s="323"/>
      <c r="L68" s="323">
        <f>L12+L20+L26+L28+L30+L38+L47+L49+L54+L56+L64+L52</f>
        <v>6091349.1299999999</v>
      </c>
      <c r="M68" s="323"/>
      <c r="N68" s="323">
        <f>N12+N20+N26+N28+N30+N38+N47+N49+N54+N56+N64+N52</f>
        <v>6021080.5299999993</v>
      </c>
      <c r="O68" s="323">
        <f>O12+O20+O26+O28+O30+O38+O47+O49+O54+O56+O64+O52</f>
        <v>5175045.9249999998</v>
      </c>
      <c r="P68" s="324"/>
      <c r="Q68" s="323">
        <f>+Q64+Q56+Q54+Q52+Q49+Q47+Q38+Q30+Q28+Q26+Q20+Q12</f>
        <v>737480.78799999994</v>
      </c>
      <c r="R68" s="323"/>
      <c r="S68" s="323">
        <f>+S64+S56+S54+S52+S49+S47+S38+S30+S28+S26+S20+S12</f>
        <v>970540.78</v>
      </c>
      <c r="T68" s="323"/>
      <c r="U68" s="323">
        <f>+U64+U56+U54+U52+U49+U47+U38+U30+U28+U26+U20+U12</f>
        <v>686685.79799999995</v>
      </c>
      <c r="V68" s="323"/>
      <c r="W68" s="323">
        <f>+W64+W56+W54+W52+W49+W47+W38+W30+W28+W26+W20+W12</f>
        <v>2200744.003</v>
      </c>
      <c r="X68" s="324"/>
      <c r="Y68" s="323">
        <f>+Y64+Y56+Y54+Y52+Y49+Y47+Y38+Y30+Y28+Y26+Y20+Y12</f>
        <v>4595451.3689999999</v>
      </c>
      <c r="Z68" s="324"/>
      <c r="AA68" s="324"/>
      <c r="AB68" s="325"/>
      <c r="AC68" s="263">
        <f>J68+Y68</f>
        <v>19661381.912999999</v>
      </c>
      <c r="AD68" s="324"/>
      <c r="AE68" s="326"/>
    </row>
    <row r="69" spans="2:35" x14ac:dyDescent="0.25">
      <c r="B69" s="318" t="s">
        <v>405</v>
      </c>
      <c r="C69" s="319"/>
      <c r="D69" s="319"/>
      <c r="E69" s="327"/>
      <c r="F69" s="327"/>
      <c r="G69" s="327"/>
      <c r="H69" s="327"/>
      <c r="I69" s="319"/>
      <c r="J69" s="319"/>
      <c r="K69" s="327"/>
      <c r="L69" s="328"/>
      <c r="M69" s="328"/>
      <c r="N69" s="328"/>
      <c r="O69" s="19"/>
      <c r="P69" s="7"/>
      <c r="Q69" s="68"/>
      <c r="R69" s="48"/>
      <c r="S69" s="48"/>
      <c r="T69" s="48"/>
      <c r="U69" s="48"/>
      <c r="V69" s="48"/>
      <c r="W69" s="48"/>
      <c r="X69" s="329">
        <f>Y68/O68*100</f>
        <v>88.800204589488743</v>
      </c>
      <c r="Y69" s="330"/>
      <c r="Z69" s="330"/>
      <c r="AA69" s="330"/>
      <c r="AB69" s="330"/>
      <c r="AC69" s="330"/>
      <c r="AD69" s="330"/>
      <c r="AE69" s="331"/>
    </row>
    <row r="70" spans="2:35" x14ac:dyDescent="0.25">
      <c r="B70" s="318" t="s">
        <v>406</v>
      </c>
      <c r="C70" s="332"/>
      <c r="D70" s="319"/>
      <c r="E70" s="319"/>
      <c r="F70" s="319"/>
      <c r="G70" s="319"/>
      <c r="H70" s="319"/>
      <c r="I70" s="319"/>
      <c r="J70" s="319"/>
      <c r="K70" s="319"/>
      <c r="L70" s="37"/>
      <c r="M70" s="37"/>
      <c r="N70" s="37"/>
      <c r="O70" s="19"/>
      <c r="P70" s="7"/>
      <c r="Q70" s="68"/>
      <c r="R70" s="48"/>
      <c r="S70" s="48"/>
      <c r="T70" s="48"/>
      <c r="U70" s="48"/>
      <c r="V70" s="48"/>
      <c r="W70" s="48"/>
      <c r="X70" s="333"/>
      <c r="Y70" s="334"/>
      <c r="Z70" s="334"/>
      <c r="AA70" s="334"/>
      <c r="AB70" s="334"/>
      <c r="AC70" s="334"/>
      <c r="AD70" s="334"/>
      <c r="AE70" s="335"/>
      <c r="AF70" s="300"/>
    </row>
    <row r="71" spans="2:35" x14ac:dyDescent="0.25">
      <c r="B71" s="318" t="s">
        <v>407</v>
      </c>
      <c r="C71" s="332"/>
      <c r="D71" s="332"/>
      <c r="E71" s="332"/>
      <c r="F71" s="332"/>
      <c r="G71" s="332"/>
      <c r="H71" s="332"/>
      <c r="I71" s="332"/>
      <c r="J71" s="332"/>
      <c r="K71" s="332"/>
      <c r="L71" s="332"/>
      <c r="M71" s="332"/>
      <c r="N71" s="332"/>
      <c r="O71" s="332"/>
      <c r="P71" s="332"/>
      <c r="Q71" s="332"/>
      <c r="R71" s="332"/>
      <c r="S71" s="332"/>
      <c r="T71" s="332"/>
      <c r="U71" s="332"/>
      <c r="V71" s="332"/>
      <c r="W71" s="332"/>
      <c r="X71" s="332"/>
      <c r="Y71" s="332"/>
      <c r="Z71" s="332"/>
      <c r="AA71" s="332"/>
      <c r="AB71" s="332"/>
      <c r="AC71" s="332"/>
      <c r="AD71" s="332"/>
      <c r="AE71" s="335"/>
    </row>
    <row r="72" spans="2:35" x14ac:dyDescent="0.25">
      <c r="B72" s="318" t="s">
        <v>408</v>
      </c>
      <c r="C72" s="332"/>
      <c r="D72" s="332"/>
      <c r="E72" s="332"/>
      <c r="F72" s="332"/>
      <c r="G72" s="332"/>
      <c r="H72" s="332"/>
      <c r="I72" s="332"/>
      <c r="J72" s="332"/>
      <c r="K72" s="332"/>
      <c r="L72" s="332"/>
      <c r="M72" s="332"/>
      <c r="N72" s="332"/>
      <c r="O72" s="332"/>
      <c r="P72" s="332"/>
      <c r="Q72" s="332"/>
      <c r="R72" s="332"/>
      <c r="S72" s="332"/>
      <c r="T72" s="332"/>
      <c r="U72" s="332"/>
      <c r="V72" s="332"/>
      <c r="W72" s="332"/>
      <c r="X72" s="332"/>
      <c r="Y72" s="332"/>
      <c r="Z72" s="332"/>
      <c r="AA72" s="332"/>
      <c r="AB72" s="332"/>
      <c r="AC72" s="332"/>
      <c r="AD72" s="332"/>
      <c r="AE72" s="335"/>
    </row>
    <row r="73" spans="2:35" ht="15.75" thickBot="1" x14ac:dyDescent="0.3">
      <c r="B73" s="336" t="s">
        <v>409</v>
      </c>
      <c r="C73" s="337"/>
      <c r="D73" s="332"/>
      <c r="E73" s="332"/>
      <c r="F73" s="332"/>
      <c r="G73" s="332"/>
      <c r="H73" s="332"/>
      <c r="I73" s="332"/>
      <c r="J73" s="332"/>
      <c r="K73" s="332"/>
      <c r="L73" s="332"/>
      <c r="M73" s="332"/>
      <c r="N73" s="332"/>
      <c r="O73" s="332"/>
      <c r="P73" s="332"/>
      <c r="Q73" s="332"/>
      <c r="R73" s="332"/>
      <c r="S73" s="332"/>
      <c r="T73" s="332"/>
      <c r="U73" s="332"/>
      <c r="V73" s="332"/>
      <c r="W73" s="332"/>
      <c r="X73" s="332"/>
      <c r="Y73" s="332"/>
      <c r="Z73" s="332"/>
      <c r="AA73" s="332"/>
      <c r="AB73" s="332"/>
      <c r="AC73" s="332"/>
      <c r="AD73" s="332"/>
      <c r="AE73" s="335"/>
    </row>
    <row r="74" spans="2:35" ht="16.5" thickTop="1" thickBot="1" x14ac:dyDescent="0.3">
      <c r="B74" s="336"/>
      <c r="C74" s="337"/>
      <c r="D74" s="337"/>
      <c r="E74" s="337"/>
      <c r="F74" s="337"/>
      <c r="G74" s="337"/>
      <c r="H74" s="337"/>
      <c r="I74" s="337"/>
      <c r="J74" s="337"/>
      <c r="K74" s="337"/>
      <c r="L74" s="337"/>
      <c r="M74" s="337"/>
      <c r="N74" s="337"/>
      <c r="O74" s="337"/>
      <c r="P74" s="337"/>
      <c r="Q74" s="337"/>
      <c r="R74" s="337"/>
      <c r="S74" s="337"/>
      <c r="T74" s="337"/>
      <c r="U74" s="337"/>
      <c r="V74" s="337"/>
      <c r="W74" s="337"/>
      <c r="X74" s="337"/>
      <c r="Y74" s="337"/>
      <c r="Z74" s="337"/>
      <c r="AA74" s="337"/>
      <c r="AB74" s="337"/>
      <c r="AC74" s="337"/>
      <c r="AD74" s="337"/>
      <c r="AE74" s="338"/>
    </row>
    <row r="75" spans="2:35" ht="15.75" thickTop="1" x14ac:dyDescent="0.25">
      <c r="B75" s="339"/>
      <c r="C75" s="339"/>
      <c r="D75" s="339"/>
      <c r="G75" s="342"/>
      <c r="H75" s="343"/>
      <c r="K75" s="342"/>
      <c r="L75" s="343"/>
      <c r="M75" s="343"/>
      <c r="N75" s="343"/>
      <c r="O75" s="343"/>
      <c r="P75" s="344"/>
      <c r="Q75" s="339"/>
      <c r="R75" s="345"/>
      <c r="S75" s="339"/>
      <c r="T75" s="339"/>
      <c r="U75" s="339"/>
      <c r="V75" s="339"/>
      <c r="W75" s="339"/>
      <c r="X75" s="339"/>
      <c r="Y75" s="339"/>
      <c r="Z75" s="339"/>
      <c r="AA75" s="346"/>
      <c r="AB75" s="347"/>
      <c r="AC75" s="348"/>
      <c r="AD75" s="347"/>
      <c r="AE75" s="348"/>
    </row>
    <row r="76" spans="2:35" x14ac:dyDescent="0.25">
      <c r="B76" s="339"/>
      <c r="C76" s="339"/>
      <c r="D76" s="339"/>
      <c r="G76" s="342"/>
      <c r="H76" s="343"/>
      <c r="K76" s="342"/>
      <c r="L76" s="343"/>
      <c r="M76" s="343"/>
      <c r="N76" s="343"/>
      <c r="P76" s="344"/>
      <c r="Q76" s="339"/>
      <c r="R76" s="345"/>
      <c r="S76" s="339"/>
      <c r="T76" s="339"/>
      <c r="U76" s="339"/>
      <c r="V76" s="339"/>
      <c r="W76" s="339"/>
      <c r="X76" s="339"/>
      <c r="Y76" s="339"/>
      <c r="Z76" s="350"/>
      <c r="AA76" s="351"/>
      <c r="AB76" s="352"/>
      <c r="AC76" s="353"/>
      <c r="AD76" s="347"/>
      <c r="AE76" s="348"/>
    </row>
    <row r="77" spans="2:35" x14ac:dyDescent="0.25">
      <c r="B77" s="339"/>
      <c r="C77" s="339"/>
      <c r="D77" s="339"/>
      <c r="G77" s="342"/>
      <c r="H77" s="343"/>
      <c r="K77" s="342"/>
      <c r="L77" s="343"/>
      <c r="M77" s="343"/>
      <c r="N77" s="343"/>
      <c r="P77" s="344"/>
      <c r="Q77" s="339"/>
      <c r="R77" s="345"/>
      <c r="S77" s="339"/>
      <c r="T77" s="339"/>
      <c r="U77" s="339"/>
      <c r="V77" s="339"/>
      <c r="W77" s="339"/>
      <c r="X77" s="339"/>
      <c r="Y77" s="339"/>
      <c r="Z77" s="339"/>
      <c r="AA77" s="346"/>
      <c r="AD77" s="347"/>
      <c r="AE77" s="348"/>
    </row>
    <row r="78" spans="2:35" x14ac:dyDescent="0.25">
      <c r="B78" s="339"/>
      <c r="C78" s="339"/>
      <c r="D78" s="339"/>
      <c r="G78" s="342"/>
      <c r="H78" s="343"/>
      <c r="K78" s="342"/>
      <c r="L78" s="343"/>
      <c r="M78" s="343"/>
      <c r="N78" s="343"/>
      <c r="P78" s="344"/>
      <c r="Q78" s="339"/>
      <c r="R78" s="345"/>
      <c r="S78" s="339"/>
      <c r="T78" s="339"/>
      <c r="U78" s="339"/>
      <c r="V78" s="339"/>
      <c r="W78" s="339"/>
      <c r="X78" s="339"/>
      <c r="Y78" s="339"/>
      <c r="Z78" s="339"/>
      <c r="AA78" s="346"/>
      <c r="AD78" s="347"/>
      <c r="AE78" s="348"/>
    </row>
    <row r="79" spans="2:35" x14ac:dyDescent="0.25">
      <c r="B79" s="339"/>
      <c r="C79" s="339"/>
      <c r="D79" s="339"/>
      <c r="G79" s="342"/>
      <c r="H79" s="343"/>
      <c r="K79" s="342"/>
      <c r="L79" s="343"/>
      <c r="M79" s="343"/>
      <c r="N79" s="343"/>
      <c r="P79" s="344"/>
      <c r="Q79" s="339"/>
      <c r="R79" s="345"/>
      <c r="S79" s="339"/>
      <c r="T79" s="339"/>
      <c r="U79" s="339"/>
      <c r="V79" s="339"/>
      <c r="W79" s="339"/>
      <c r="X79" s="339"/>
      <c r="Y79" s="339"/>
      <c r="Z79" s="339"/>
      <c r="AA79" s="346"/>
      <c r="AD79" s="347"/>
      <c r="AE79" s="348"/>
    </row>
    <row r="80" spans="2:35" x14ac:dyDescent="0.25">
      <c r="B80" s="339"/>
      <c r="C80" s="339"/>
      <c r="D80" s="339"/>
      <c r="G80" s="342"/>
      <c r="H80" s="343"/>
      <c r="K80" s="342"/>
      <c r="L80" s="343"/>
      <c r="M80" s="343"/>
      <c r="N80" s="343"/>
      <c r="P80" s="344"/>
      <c r="Q80" s="339"/>
      <c r="R80" s="345"/>
      <c r="S80" s="339"/>
      <c r="T80" s="339"/>
      <c r="U80" s="339"/>
      <c r="V80" s="339"/>
      <c r="W80" s="339"/>
      <c r="X80" s="339"/>
      <c r="Y80" s="339"/>
      <c r="Z80" s="339"/>
      <c r="AA80" s="346"/>
      <c r="AD80" s="347"/>
      <c r="AE80" s="348"/>
    </row>
    <row r="81" spans="2:31" x14ac:dyDescent="0.25">
      <c r="B81" s="339"/>
      <c r="C81" s="339"/>
      <c r="D81" s="339"/>
      <c r="G81" s="342"/>
      <c r="H81" s="343"/>
      <c r="K81" s="342"/>
      <c r="L81" s="343"/>
      <c r="M81" s="343"/>
      <c r="N81" s="343"/>
      <c r="P81" s="344"/>
      <c r="Q81" s="339"/>
      <c r="R81" s="345"/>
      <c r="S81" s="339"/>
      <c r="T81" s="339"/>
      <c r="U81" s="339"/>
      <c r="V81" s="339"/>
      <c r="W81" s="339"/>
      <c r="X81" s="339"/>
      <c r="Y81" s="339"/>
      <c r="Z81" s="339"/>
      <c r="AA81" s="346"/>
      <c r="AD81" s="347"/>
      <c r="AE81" s="348"/>
    </row>
    <row r="82" spans="2:31" x14ac:dyDescent="0.25">
      <c r="B82" s="339"/>
      <c r="C82" s="339"/>
      <c r="D82" s="339"/>
      <c r="G82" s="342"/>
      <c r="H82" s="343"/>
      <c r="K82" s="342"/>
      <c r="L82" s="343"/>
      <c r="M82" s="343"/>
      <c r="N82" s="343"/>
      <c r="P82" s="344"/>
      <c r="Q82" s="339"/>
      <c r="R82" s="345"/>
      <c r="S82" s="339"/>
      <c r="T82" s="339"/>
      <c r="U82" s="339"/>
      <c r="V82" s="339"/>
      <c r="W82" s="339"/>
      <c r="X82" s="339"/>
      <c r="Y82" s="339"/>
      <c r="Z82" s="339"/>
      <c r="AA82" s="346"/>
      <c r="AD82" s="347"/>
      <c r="AE82" s="348"/>
    </row>
    <row r="83" spans="2:31" x14ac:dyDescent="0.25">
      <c r="B83" s="339"/>
      <c r="C83" s="339"/>
      <c r="D83" s="339"/>
      <c r="G83" s="342"/>
      <c r="H83" s="343"/>
      <c r="K83" s="342"/>
      <c r="L83" s="343"/>
      <c r="M83" s="343"/>
      <c r="N83" s="343"/>
      <c r="P83" s="344"/>
      <c r="Q83" s="339"/>
      <c r="R83" s="345"/>
      <c r="S83" s="339"/>
      <c r="T83" s="339"/>
      <c r="U83" s="339"/>
      <c r="V83" s="339"/>
      <c r="W83" s="339"/>
      <c r="X83" s="339"/>
      <c r="Y83" s="339"/>
      <c r="Z83" s="339"/>
      <c r="AA83" s="346"/>
      <c r="AD83" s="347"/>
      <c r="AE83" s="348"/>
    </row>
    <row r="84" spans="2:31" x14ac:dyDescent="0.25">
      <c r="B84" s="339"/>
      <c r="C84" s="339"/>
      <c r="D84" s="339"/>
      <c r="G84" s="342"/>
      <c r="H84" s="343"/>
      <c r="K84" s="342"/>
      <c r="L84" s="343"/>
      <c r="M84" s="343"/>
      <c r="N84" s="343"/>
      <c r="P84" s="344"/>
      <c r="Q84" s="339"/>
      <c r="R84" s="345"/>
      <c r="S84" s="339"/>
      <c r="T84" s="339"/>
      <c r="U84" s="339"/>
      <c r="V84" s="339"/>
      <c r="W84" s="339"/>
      <c r="X84" s="339"/>
      <c r="Y84" s="339"/>
      <c r="Z84" s="339"/>
      <c r="AA84" s="346"/>
      <c r="AD84" s="347"/>
      <c r="AE84" s="348"/>
    </row>
    <row r="85" spans="2:31" x14ac:dyDescent="0.25">
      <c r="B85" s="339"/>
      <c r="C85" s="339"/>
      <c r="D85" s="339"/>
      <c r="G85" s="342"/>
      <c r="H85" s="343"/>
      <c r="K85" s="342"/>
      <c r="L85" s="343"/>
      <c r="M85" s="343"/>
      <c r="N85" s="343"/>
      <c r="P85" s="344"/>
      <c r="Q85" s="339"/>
      <c r="R85" s="345"/>
      <c r="S85" s="339"/>
      <c r="T85" s="339"/>
      <c r="U85" s="339"/>
      <c r="V85" s="339"/>
      <c r="W85" s="339"/>
      <c r="X85" s="339"/>
      <c r="Y85" s="339"/>
      <c r="Z85" s="339"/>
      <c r="AA85" s="346"/>
      <c r="AD85" s="347"/>
      <c r="AE85" s="348"/>
    </row>
    <row r="86" spans="2:31" x14ac:dyDescent="0.25">
      <c r="B86" s="339"/>
      <c r="C86" s="339"/>
      <c r="D86" s="339"/>
      <c r="G86" s="342"/>
      <c r="H86" s="343"/>
      <c r="K86" s="342"/>
      <c r="L86" s="343"/>
      <c r="M86" s="343"/>
      <c r="N86" s="343"/>
      <c r="P86" s="344"/>
      <c r="Q86" s="339"/>
      <c r="R86" s="345"/>
      <c r="S86" s="339"/>
      <c r="T86" s="339"/>
      <c r="U86" s="339"/>
      <c r="V86" s="339"/>
      <c r="W86" s="339"/>
      <c r="X86" s="339"/>
      <c r="Y86" s="339"/>
      <c r="Z86" s="339"/>
      <c r="AA86" s="346"/>
      <c r="AD86" s="347"/>
      <c r="AE86" s="348"/>
    </row>
    <row r="87" spans="2:31" x14ac:dyDescent="0.25">
      <c r="B87" s="339"/>
      <c r="C87" s="339"/>
      <c r="D87" s="339"/>
      <c r="G87" s="342"/>
      <c r="H87" s="343"/>
      <c r="K87" s="342"/>
      <c r="L87" s="343"/>
      <c r="M87" s="343"/>
      <c r="N87" s="343"/>
      <c r="P87" s="344"/>
      <c r="Q87" s="339"/>
      <c r="R87" s="345"/>
      <c r="S87" s="339"/>
      <c r="T87" s="339"/>
      <c r="U87" s="339"/>
      <c r="V87" s="339"/>
      <c r="W87" s="339"/>
      <c r="X87" s="339"/>
      <c r="Y87" s="339"/>
      <c r="Z87" s="339"/>
      <c r="AA87" s="346"/>
      <c r="AD87" s="347"/>
      <c r="AE87" s="348"/>
    </row>
    <row r="88" spans="2:31" x14ac:dyDescent="0.25">
      <c r="B88" s="339"/>
      <c r="C88" s="339"/>
      <c r="D88" s="339"/>
      <c r="G88" s="342"/>
      <c r="H88" s="343"/>
      <c r="K88" s="342"/>
      <c r="L88" s="343"/>
      <c r="M88" s="343"/>
      <c r="N88" s="343"/>
      <c r="P88" s="344"/>
      <c r="Q88" s="339"/>
      <c r="R88" s="345"/>
      <c r="S88" s="339"/>
      <c r="T88" s="339"/>
      <c r="U88" s="339"/>
      <c r="V88" s="339"/>
      <c r="W88" s="339"/>
      <c r="X88" s="339"/>
      <c r="Y88" s="339"/>
      <c r="Z88" s="339"/>
      <c r="AA88" s="346"/>
      <c r="AD88" s="347"/>
      <c r="AE88" s="348"/>
    </row>
    <row r="89" spans="2:31" x14ac:dyDescent="0.25">
      <c r="D89" s="339"/>
      <c r="G89" s="342"/>
      <c r="H89" s="343"/>
      <c r="K89" s="342"/>
      <c r="L89" s="343"/>
      <c r="M89" s="343"/>
      <c r="N89" s="343"/>
      <c r="P89" s="344"/>
      <c r="Q89" s="339"/>
      <c r="R89" s="345"/>
      <c r="S89" s="339"/>
      <c r="T89" s="339"/>
      <c r="U89" s="339"/>
      <c r="V89" s="339"/>
      <c r="W89" s="339"/>
      <c r="X89" s="339"/>
      <c r="Y89" s="339"/>
      <c r="Z89" s="339"/>
      <c r="AA89" s="346"/>
      <c r="AD89" s="347"/>
    </row>
    <row r="92" spans="2:31" x14ac:dyDescent="0.25">
      <c r="Q92" s="357">
        <f>Q68+S68</f>
        <v>1708021.568</v>
      </c>
    </row>
  </sheetData>
  <mergeCells count="33">
    <mergeCell ref="AF47:AG47"/>
    <mergeCell ref="AF49:AG49"/>
    <mergeCell ref="T11:U11"/>
    <mergeCell ref="V11:W11"/>
    <mergeCell ref="X11:Y11"/>
    <mergeCell ref="Z11:AA11"/>
    <mergeCell ref="AB11:AC11"/>
    <mergeCell ref="AD11:AE11"/>
    <mergeCell ref="E11:F11"/>
    <mergeCell ref="G11:H11"/>
    <mergeCell ref="I11:J11"/>
    <mergeCell ref="K11:O11"/>
    <mergeCell ref="P11:Q11"/>
    <mergeCell ref="R11:S11"/>
    <mergeCell ref="P4:W4"/>
    <mergeCell ref="X4:Y5"/>
    <mergeCell ref="Z4:AA5"/>
    <mergeCell ref="AB4:AC5"/>
    <mergeCell ref="B1:AE1"/>
    <mergeCell ref="B2:AE2"/>
    <mergeCell ref="B3:U3"/>
    <mergeCell ref="B4:B5"/>
    <mergeCell ref="C4:C5"/>
    <mergeCell ref="D4:D5"/>
    <mergeCell ref="E4:F5"/>
    <mergeCell ref="G4:H5"/>
    <mergeCell ref="I4:J5"/>
    <mergeCell ref="K4:O5"/>
    <mergeCell ref="AD4:AE5"/>
    <mergeCell ref="P5:Q5"/>
    <mergeCell ref="R5:S5"/>
    <mergeCell ref="T5:U5"/>
    <mergeCell ref="V5:W5"/>
  </mergeCells>
  <pageMargins left="0.11811023622047245" right="0" top="0.52" bottom="0.27" header="0" footer="0.11811023622047245"/>
  <pageSetup paperSize="14" scale="50" orientation="landscape" useFirstPageNumber="1" horizontalDpi="4294967293" r:id="rId1"/>
  <headerFooter scaleWithDoc="0">
    <oddFooter>&amp;R-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110"/>
  <sheetViews>
    <sheetView showGridLines="0" zoomScale="64" zoomScaleNormal="64" workbookViewId="0">
      <pane ySplit="8" topLeftCell="A96" activePane="bottomLeft" state="frozen"/>
      <selection pane="bottomLeft" activeCell="L106" sqref="L106"/>
    </sheetView>
  </sheetViews>
  <sheetFormatPr defaultColWidth="9.140625" defaultRowHeight="12.75" x14ac:dyDescent="0.25"/>
  <cols>
    <col min="1" max="1" width="4.7109375" style="8" customWidth="1"/>
    <col min="2" max="2" width="18.42578125" style="53" customWidth="1"/>
    <col min="3" max="3" width="30.7109375" style="16" customWidth="1"/>
    <col min="4" max="5" width="30.7109375" style="53" customWidth="1"/>
    <col min="6" max="6" width="10.42578125" style="8" customWidth="1"/>
    <col min="7" max="7" width="9.140625" style="20" customWidth="1"/>
    <col min="8" max="8" width="12.5703125" style="10" customWidth="1"/>
    <col min="9" max="9" width="9.140625" style="20" customWidth="1"/>
    <col min="10" max="10" width="15.42578125" style="10" customWidth="1"/>
    <col min="11" max="11" width="9.5703125" style="20" customWidth="1"/>
    <col min="12" max="12" width="16.28515625" style="31" customWidth="1"/>
    <col min="13" max="13" width="9.140625" style="20"/>
    <col min="14" max="14" width="15.7109375" style="31" customWidth="1"/>
    <col min="15" max="15" width="7.140625" style="20" customWidth="1"/>
    <col min="16" max="16" width="15.140625" style="10" customWidth="1"/>
    <col min="17" max="17" width="9.140625" style="20" customWidth="1"/>
    <col min="18" max="18" width="15.140625" style="10" customWidth="1"/>
    <col min="19" max="19" width="9.140625" style="20" customWidth="1"/>
    <col min="20" max="20" width="9.140625" style="10" customWidth="1"/>
    <col min="21" max="21" width="9.140625" style="20" customWidth="1"/>
    <col min="22" max="22" width="9.140625" style="10" customWidth="1"/>
    <col min="23" max="23" width="9.140625" style="20"/>
    <col min="24" max="24" width="16.42578125" style="10" customWidth="1"/>
    <col min="25" max="25" width="8.28515625" style="20" customWidth="1"/>
    <col min="26" max="26" width="7.5703125" style="10" customWidth="1"/>
    <col min="27" max="27" width="10.7109375" style="20" customWidth="1"/>
    <col min="28" max="28" width="14.7109375" style="10" customWidth="1"/>
    <col min="29" max="29" width="9.5703125" style="20" customWidth="1"/>
    <col min="30" max="30" width="9" style="10" customWidth="1"/>
    <col min="31" max="31" width="12.5703125" style="8" customWidth="1"/>
    <col min="32" max="32" width="3.28515625" style="53" customWidth="1"/>
    <col min="33" max="34" width="14.7109375" style="53" hidden="1" customWidth="1"/>
    <col min="35" max="35" width="15.28515625" style="53" hidden="1" customWidth="1"/>
    <col min="36" max="37" width="14.7109375" style="53" hidden="1" customWidth="1"/>
    <col min="38" max="38" width="0" style="53" hidden="1" customWidth="1"/>
    <col min="39" max="16384" width="9.140625" style="53"/>
  </cols>
  <sheetData>
    <row r="1" spans="1:38" ht="15.75" x14ac:dyDescent="0.25">
      <c r="A1" s="1060" t="s">
        <v>424</v>
      </c>
      <c r="B1" s="1060"/>
      <c r="C1" s="1060"/>
      <c r="D1" s="1060"/>
      <c r="E1" s="1060"/>
      <c r="F1" s="1060"/>
      <c r="G1" s="1060"/>
      <c r="H1" s="1060"/>
      <c r="I1" s="1060"/>
      <c r="J1" s="1060"/>
      <c r="K1" s="1060"/>
      <c r="L1" s="1060"/>
      <c r="M1" s="1060"/>
      <c r="N1" s="1060"/>
      <c r="O1" s="1060"/>
      <c r="P1" s="1060"/>
      <c r="Q1" s="1060"/>
      <c r="R1" s="1060"/>
      <c r="S1" s="1060"/>
      <c r="T1" s="1060"/>
      <c r="U1" s="1060"/>
      <c r="V1" s="1060"/>
      <c r="W1" s="1060"/>
      <c r="X1" s="1060"/>
      <c r="Y1" s="1060"/>
      <c r="Z1" s="1060"/>
      <c r="AA1" s="1060"/>
      <c r="AB1" s="1060"/>
      <c r="AC1" s="1060"/>
      <c r="AD1" s="1060"/>
      <c r="AE1" s="1060"/>
    </row>
    <row r="2" spans="1:38" ht="15.75" x14ac:dyDescent="0.25">
      <c r="A2" s="1060" t="s">
        <v>425</v>
      </c>
      <c r="B2" s="1060"/>
      <c r="C2" s="1060"/>
      <c r="D2" s="1060"/>
      <c r="E2" s="1060"/>
      <c r="F2" s="1060"/>
      <c r="G2" s="1060"/>
      <c r="H2" s="1060"/>
      <c r="I2" s="1060"/>
      <c r="J2" s="1060"/>
      <c r="K2" s="1060"/>
      <c r="L2" s="1060"/>
      <c r="M2" s="1060"/>
      <c r="N2" s="1060"/>
      <c r="O2" s="1060"/>
      <c r="P2" s="1060"/>
      <c r="Q2" s="1060"/>
      <c r="R2" s="1060"/>
      <c r="S2" s="1060"/>
      <c r="T2" s="1060"/>
      <c r="U2" s="1060"/>
      <c r="V2" s="1060"/>
      <c r="W2" s="1060"/>
      <c r="X2" s="1060"/>
      <c r="Y2" s="1060"/>
      <c r="Z2" s="1060"/>
      <c r="AA2" s="1060"/>
      <c r="AB2" s="1060"/>
      <c r="AC2" s="1060"/>
      <c r="AD2" s="1060"/>
      <c r="AE2" s="1060"/>
    </row>
    <row r="4" spans="1:38" s="402" customFormat="1" x14ac:dyDescent="0.25">
      <c r="A4" s="1026" t="s">
        <v>0</v>
      </c>
      <c r="B4" s="1026" t="s">
        <v>269</v>
      </c>
      <c r="C4" s="1026" t="s">
        <v>30</v>
      </c>
      <c r="D4" s="1026" t="s">
        <v>253</v>
      </c>
      <c r="E4" s="1026" t="s">
        <v>21</v>
      </c>
      <c r="F4" s="1026" t="s">
        <v>1</v>
      </c>
      <c r="G4" s="1005" t="s">
        <v>2</v>
      </c>
      <c r="H4" s="1006"/>
      <c r="I4" s="996" t="s">
        <v>17</v>
      </c>
      <c r="J4" s="997"/>
      <c r="K4" s="996" t="s">
        <v>12</v>
      </c>
      <c r="L4" s="1002"/>
      <c r="M4" s="1002"/>
      <c r="N4" s="997"/>
      <c r="O4" s="1023" t="s">
        <v>189</v>
      </c>
      <c r="P4" s="1024"/>
      <c r="Q4" s="1024"/>
      <c r="R4" s="1024"/>
      <c r="S4" s="1024"/>
      <c r="T4" s="1024"/>
      <c r="U4" s="1024"/>
      <c r="V4" s="1025"/>
      <c r="W4" s="996" t="s">
        <v>13</v>
      </c>
      <c r="X4" s="997"/>
      <c r="Y4" s="996" t="s">
        <v>14</v>
      </c>
      <c r="Z4" s="997"/>
      <c r="AA4" s="996" t="s">
        <v>15</v>
      </c>
      <c r="AB4" s="997"/>
      <c r="AC4" s="1017" t="s">
        <v>16</v>
      </c>
      <c r="AD4" s="1017"/>
      <c r="AE4" s="1018" t="s">
        <v>3</v>
      </c>
    </row>
    <row r="5" spans="1:38" s="402" customFormat="1" x14ac:dyDescent="0.25">
      <c r="A5" s="1027"/>
      <c r="B5" s="1027"/>
      <c r="C5" s="1027"/>
      <c r="D5" s="1027"/>
      <c r="E5" s="1027"/>
      <c r="F5" s="1027"/>
      <c r="G5" s="1007"/>
      <c r="H5" s="1008"/>
      <c r="I5" s="998"/>
      <c r="J5" s="999"/>
      <c r="K5" s="998"/>
      <c r="L5" s="1003"/>
      <c r="M5" s="1003"/>
      <c r="N5" s="999"/>
      <c r="O5" s="996" t="s">
        <v>4</v>
      </c>
      <c r="P5" s="997"/>
      <c r="Q5" s="996" t="s">
        <v>5</v>
      </c>
      <c r="R5" s="997"/>
      <c r="S5" s="996" t="s">
        <v>6</v>
      </c>
      <c r="T5" s="997"/>
      <c r="U5" s="1019" t="s">
        <v>7</v>
      </c>
      <c r="V5" s="1020"/>
      <c r="W5" s="998"/>
      <c r="X5" s="999"/>
      <c r="Y5" s="998"/>
      <c r="Z5" s="999"/>
      <c r="AA5" s="998"/>
      <c r="AB5" s="999"/>
      <c r="AC5" s="1017"/>
      <c r="AD5" s="1017"/>
      <c r="AE5" s="1018"/>
    </row>
    <row r="6" spans="1:38" s="402" customFormat="1" ht="98.25" customHeight="1" x14ac:dyDescent="0.25">
      <c r="A6" s="1027"/>
      <c r="B6" s="1027"/>
      <c r="C6" s="1027"/>
      <c r="D6" s="1027"/>
      <c r="E6" s="1027"/>
      <c r="F6" s="1027"/>
      <c r="G6" s="1009"/>
      <c r="H6" s="1010"/>
      <c r="I6" s="1000"/>
      <c r="J6" s="1001"/>
      <c r="K6" s="1000"/>
      <c r="L6" s="1004"/>
      <c r="M6" s="1004"/>
      <c r="N6" s="1001"/>
      <c r="O6" s="1000"/>
      <c r="P6" s="1001"/>
      <c r="Q6" s="1000"/>
      <c r="R6" s="1001"/>
      <c r="S6" s="1000"/>
      <c r="T6" s="1001"/>
      <c r="U6" s="1021"/>
      <c r="V6" s="1022"/>
      <c r="W6" s="1000"/>
      <c r="X6" s="1001"/>
      <c r="Y6" s="1000"/>
      <c r="Z6" s="1001"/>
      <c r="AA6" s="1000"/>
      <c r="AB6" s="1001"/>
      <c r="AC6" s="1017"/>
      <c r="AD6" s="1017"/>
      <c r="AE6" s="1018"/>
    </row>
    <row r="7" spans="1:38" s="402" customFormat="1" ht="33" customHeight="1" x14ac:dyDescent="0.25">
      <c r="A7" s="1028"/>
      <c r="B7" s="1028"/>
      <c r="C7" s="1028"/>
      <c r="D7" s="1028"/>
      <c r="E7" s="1028"/>
      <c r="F7" s="1028"/>
      <c r="G7" s="216" t="s">
        <v>8</v>
      </c>
      <c r="H7" s="11" t="s">
        <v>9</v>
      </c>
      <c r="I7" s="216" t="s">
        <v>8</v>
      </c>
      <c r="J7" s="11" t="s">
        <v>9</v>
      </c>
      <c r="K7" s="216" t="s">
        <v>8</v>
      </c>
      <c r="L7" s="30" t="s">
        <v>10</v>
      </c>
      <c r="M7" s="216" t="s">
        <v>8</v>
      </c>
      <c r="N7" s="30" t="s">
        <v>11</v>
      </c>
      <c r="O7" s="216" t="s">
        <v>8</v>
      </c>
      <c r="P7" s="11" t="s">
        <v>9</v>
      </c>
      <c r="Q7" s="216" t="s">
        <v>8</v>
      </c>
      <c r="R7" s="11" t="s">
        <v>9</v>
      </c>
      <c r="S7" s="216" t="s">
        <v>8</v>
      </c>
      <c r="T7" s="11" t="s">
        <v>9</v>
      </c>
      <c r="U7" s="371" t="s">
        <v>8</v>
      </c>
      <c r="V7" s="12" t="s">
        <v>9</v>
      </c>
      <c r="W7" s="216" t="s">
        <v>8</v>
      </c>
      <c r="X7" s="11" t="s">
        <v>9</v>
      </c>
      <c r="Y7" s="2" t="s">
        <v>8</v>
      </c>
      <c r="Z7" s="11" t="s">
        <v>9</v>
      </c>
      <c r="AA7" s="216" t="s">
        <v>8</v>
      </c>
      <c r="AB7" s="11" t="s">
        <v>9</v>
      </c>
      <c r="AC7" s="216" t="s">
        <v>8</v>
      </c>
      <c r="AD7" s="11" t="s">
        <v>9</v>
      </c>
      <c r="AE7" s="1018"/>
      <c r="AK7" s="447" t="e">
        <f>#REF!</f>
        <v>#REF!</v>
      </c>
    </row>
    <row r="8" spans="1:38" s="403" customFormat="1" x14ac:dyDescent="0.25">
      <c r="A8" s="465">
        <v>1</v>
      </c>
      <c r="B8" s="465">
        <v>2</v>
      </c>
      <c r="C8" s="466">
        <v>3</v>
      </c>
      <c r="D8" s="467">
        <v>4</v>
      </c>
      <c r="E8" s="467">
        <v>5</v>
      </c>
      <c r="F8" s="468">
        <v>6</v>
      </c>
      <c r="G8" s="1061">
        <v>7</v>
      </c>
      <c r="H8" s="1062"/>
      <c r="I8" s="1061">
        <v>8</v>
      </c>
      <c r="J8" s="1062"/>
      <c r="K8" s="1061">
        <v>9</v>
      </c>
      <c r="L8" s="1066"/>
      <c r="M8" s="1066"/>
      <c r="N8" s="1062"/>
      <c r="O8" s="1061">
        <v>10</v>
      </c>
      <c r="P8" s="1062"/>
      <c r="Q8" s="1061">
        <v>11</v>
      </c>
      <c r="R8" s="1062"/>
      <c r="S8" s="1061">
        <v>12</v>
      </c>
      <c r="T8" s="1062"/>
      <c r="U8" s="1063">
        <v>13</v>
      </c>
      <c r="V8" s="1064"/>
      <c r="W8" s="1061" t="s">
        <v>18</v>
      </c>
      <c r="X8" s="1062"/>
      <c r="Y8" s="1061" t="s">
        <v>19</v>
      </c>
      <c r="Z8" s="1062"/>
      <c r="AA8" s="1061" t="s">
        <v>423</v>
      </c>
      <c r="AB8" s="1062"/>
      <c r="AC8" s="1065" t="s">
        <v>20</v>
      </c>
      <c r="AD8" s="1065"/>
      <c r="AE8" s="469">
        <v>18</v>
      </c>
      <c r="AG8" s="403">
        <v>2017</v>
      </c>
      <c r="AH8" s="403">
        <v>2018</v>
      </c>
      <c r="AI8" s="403">
        <v>2019</v>
      </c>
      <c r="AJ8" s="403">
        <v>2020</v>
      </c>
    </row>
    <row r="9" spans="1:38" s="376" customFormat="1" ht="55.5" customHeight="1" x14ac:dyDescent="0.25">
      <c r="A9" s="553" t="s">
        <v>4</v>
      </c>
      <c r="B9" s="461" t="s">
        <v>219</v>
      </c>
      <c r="C9" s="462" t="s">
        <v>185</v>
      </c>
      <c r="D9" s="463" t="s">
        <v>34</v>
      </c>
      <c r="E9" s="554" t="s">
        <v>86</v>
      </c>
      <c r="F9" s="555" t="s">
        <v>93</v>
      </c>
      <c r="G9" s="556">
        <v>100</v>
      </c>
      <c r="H9" s="557">
        <f>H11+H12</f>
        <v>185000</v>
      </c>
      <c r="I9" s="558">
        <f>(I11+I12)/(G11+G12)*100</f>
        <v>69.230769230769226</v>
      </c>
      <c r="J9" s="559">
        <f>J11+J12</f>
        <v>61171.930000000008</v>
      </c>
      <c r="K9" s="556">
        <v>100</v>
      </c>
      <c r="L9" s="559">
        <f>L11+L12</f>
        <v>23084.95</v>
      </c>
      <c r="M9" s="556">
        <v>100</v>
      </c>
      <c r="N9" s="559">
        <f>N11+N12</f>
        <v>23084.95</v>
      </c>
      <c r="O9" s="558">
        <f>1/3*100</f>
        <v>33.333333333333329</v>
      </c>
      <c r="P9" s="559">
        <f>P11+P12</f>
        <v>3973.4500000000003</v>
      </c>
      <c r="Q9" s="736"/>
      <c r="R9" s="737"/>
      <c r="S9" s="560"/>
      <c r="T9" s="561"/>
      <c r="U9" s="560"/>
      <c r="V9" s="561"/>
      <c r="W9" s="556">
        <f>O9+Q9+S9+U9</f>
        <v>33.333333333333329</v>
      </c>
      <c r="X9" s="562">
        <f>P9+R9+T9+V9</f>
        <v>3973.4500000000003</v>
      </c>
      <c r="Y9" s="558">
        <f>W9/M9*100</f>
        <v>33.333333333333329</v>
      </c>
      <c r="Z9" s="559">
        <f>X9/N9*100</f>
        <v>17.212296322929006</v>
      </c>
      <c r="AA9" s="558">
        <f>I9+W9</f>
        <v>102.56410256410255</v>
      </c>
      <c r="AB9" s="559">
        <f>J9+X9</f>
        <v>65145.380000000005</v>
      </c>
      <c r="AC9" s="563">
        <f>AA9/G9*100</f>
        <v>102.56410256410255</v>
      </c>
      <c r="AD9" s="564">
        <f>AB9/H9*100</f>
        <v>35.213718918918921</v>
      </c>
      <c r="AE9" s="553" t="s">
        <v>428</v>
      </c>
      <c r="AG9" s="443">
        <f ca="1">SUM(AG9:AG16)</f>
        <v>1175847</v>
      </c>
      <c r="AH9" s="443">
        <f ca="1">SUM(AH9:AH16)</f>
        <v>2093309</v>
      </c>
      <c r="AI9" s="443">
        <f ca="1">SUM(AI9:AI16)</f>
        <v>1991868.5000000002</v>
      </c>
      <c r="AJ9" s="443">
        <f ca="1">SUM(AJ9:AJ16)</f>
        <v>27601171.324000001</v>
      </c>
      <c r="AK9" s="443">
        <f ca="1">SUM(AG9:AJ9)</f>
        <v>32862195.824000001</v>
      </c>
      <c r="AL9" s="603" t="e">
        <f ca="1">AK9-AK7</f>
        <v>#REF!</v>
      </c>
    </row>
    <row r="10" spans="1:38" ht="45" customHeight="1" x14ac:dyDescent="0.25">
      <c r="A10" s="510"/>
      <c r="B10" s="511"/>
      <c r="C10" s="512"/>
      <c r="D10" s="513" t="s">
        <v>35</v>
      </c>
      <c r="E10" s="514"/>
      <c r="F10" s="510"/>
      <c r="G10" s="515"/>
      <c r="H10" s="515"/>
      <c r="I10" s="516"/>
      <c r="J10" s="517"/>
      <c r="K10" s="518"/>
      <c r="L10" s="519"/>
      <c r="M10" s="518"/>
      <c r="N10" s="519"/>
      <c r="O10" s="518"/>
      <c r="P10" s="520"/>
      <c r="Q10" s="738"/>
      <c r="R10" s="739"/>
      <c r="S10" s="518"/>
      <c r="T10" s="520"/>
      <c r="U10" s="518"/>
      <c r="V10" s="520"/>
      <c r="W10" s="518"/>
      <c r="X10" s="519"/>
      <c r="Y10" s="521"/>
      <c r="Z10" s="522"/>
      <c r="AA10" s="523"/>
      <c r="AB10" s="524"/>
      <c r="AC10" s="525"/>
      <c r="AD10" s="520"/>
      <c r="AE10" s="510"/>
      <c r="AJ10" s="452">
        <f>+'RIIL TW IV PERBAIKAN'!J12+'RIIL TW IV PERBAIKAN'!J20+'RIIL TW IV PERBAIKAN'!J26+'RIIL TW IV PERBAIKAN'!J28+'RIIL TW IV PERBAIKAN'!J64+'RIIL TW IV PERBAIKAN'!Y12+'RIIL TW IV PERBAIKAN'!Y20+'RIIL TW IV PERBAIKAN'!Y26+'RIIL TW IV PERBAIKAN'!Y28+'RIIL TW IV PERBAIKAN'!Y64</f>
        <v>6475271.7800000003</v>
      </c>
      <c r="AK10" s="451">
        <v>6475271.7800000003</v>
      </c>
    </row>
    <row r="11" spans="1:38" ht="46.5" customHeight="1" x14ac:dyDescent="0.25">
      <c r="A11" s="7">
        <v>1</v>
      </c>
      <c r="B11" s="384" t="s">
        <v>220</v>
      </c>
      <c r="C11" s="380" t="s">
        <v>184</v>
      </c>
      <c r="D11" s="6" t="s">
        <v>36</v>
      </c>
      <c r="E11" s="4" t="s">
        <v>87</v>
      </c>
      <c r="F11" s="7" t="s">
        <v>95</v>
      </c>
      <c r="G11" s="418">
        <v>10</v>
      </c>
      <c r="H11" s="142">
        <f>15000+45000+50000+15000</f>
        <v>125000</v>
      </c>
      <c r="I11" s="418">
        <f>3+2+3</f>
        <v>8</v>
      </c>
      <c r="J11" s="420">
        <f>0+14999+9892.3+14114.14+10517.15</f>
        <v>49522.590000000004</v>
      </c>
      <c r="K11" s="19">
        <v>2</v>
      </c>
      <c r="L11" s="75">
        <v>8085.05</v>
      </c>
      <c r="M11" s="19">
        <v>2</v>
      </c>
      <c r="N11" s="29">
        <v>8085.05</v>
      </c>
      <c r="O11" s="19">
        <v>1</v>
      </c>
      <c r="P11" s="29">
        <v>3475.15</v>
      </c>
      <c r="Q11" s="418"/>
      <c r="R11" s="420"/>
      <c r="S11" s="19"/>
      <c r="T11" s="9"/>
      <c r="U11" s="19"/>
      <c r="V11" s="9"/>
      <c r="W11" s="19">
        <f t="shared" ref="W11:X75" si="0">O11+Q11+S11+U11</f>
        <v>1</v>
      </c>
      <c r="X11" s="68">
        <f t="shared" si="0"/>
        <v>3475.15</v>
      </c>
      <c r="Y11" s="410">
        <f t="shared" ref="Y11:Z75" si="1">W11/M11*100</f>
        <v>50</v>
      </c>
      <c r="Z11" s="29">
        <f t="shared" si="1"/>
        <v>42.982418166863532</v>
      </c>
      <c r="AA11" s="453">
        <f>I11+W11</f>
        <v>9</v>
      </c>
      <c r="AB11" s="9">
        <f t="shared" ref="AB11:AB81" si="2">X11+J11</f>
        <v>52997.740000000005</v>
      </c>
      <c r="AC11" s="432">
        <f>AA11/G11*100</f>
        <v>90</v>
      </c>
      <c r="AD11" s="29">
        <f>AB11/H11*100</f>
        <v>42.398192000000009</v>
      </c>
      <c r="AE11" s="7"/>
    </row>
    <row r="12" spans="1:38" ht="43.5" customHeight="1" x14ac:dyDescent="0.25">
      <c r="A12" s="7">
        <v>2</v>
      </c>
      <c r="B12" s="384" t="s">
        <v>221</v>
      </c>
      <c r="C12" s="380" t="s">
        <v>186</v>
      </c>
      <c r="D12" s="6" t="s">
        <v>37</v>
      </c>
      <c r="E12" s="4" t="s">
        <v>88</v>
      </c>
      <c r="F12" s="7" t="s">
        <v>95</v>
      </c>
      <c r="G12" s="418">
        <v>3</v>
      </c>
      <c r="H12" s="142">
        <v>60000</v>
      </c>
      <c r="I12" s="418">
        <v>1</v>
      </c>
      <c r="J12" s="420">
        <v>11649.34</v>
      </c>
      <c r="K12" s="19">
        <v>1</v>
      </c>
      <c r="L12" s="76">
        <v>14999.9</v>
      </c>
      <c r="M12" s="19">
        <v>1</v>
      </c>
      <c r="N12" s="23">
        <v>14999.9</v>
      </c>
      <c r="O12" s="19">
        <v>1</v>
      </c>
      <c r="P12" s="23">
        <v>498.3</v>
      </c>
      <c r="Q12" s="418"/>
      <c r="R12" s="681"/>
      <c r="S12" s="19"/>
      <c r="T12" s="9"/>
      <c r="U12" s="19"/>
      <c r="V12" s="9"/>
      <c r="W12" s="19">
        <f t="shared" si="0"/>
        <v>1</v>
      </c>
      <c r="X12" s="68">
        <f t="shared" si="0"/>
        <v>498.3</v>
      </c>
      <c r="Y12" s="410">
        <f t="shared" si="1"/>
        <v>100</v>
      </c>
      <c r="Z12" s="29">
        <f t="shared" si="1"/>
        <v>3.3220221468143123</v>
      </c>
      <c r="AA12" s="453">
        <f>I12+W12</f>
        <v>2</v>
      </c>
      <c r="AB12" s="9">
        <f t="shared" si="2"/>
        <v>12147.64</v>
      </c>
      <c r="AC12" s="432">
        <f>AA12/G12*100</f>
        <v>66.666666666666657</v>
      </c>
      <c r="AD12" s="29">
        <f>AB12/H12*100</f>
        <v>20.246066666666664</v>
      </c>
      <c r="AE12" s="7"/>
    </row>
    <row r="13" spans="1:38" s="376" customFormat="1" ht="49.5" customHeight="1" x14ac:dyDescent="0.25">
      <c r="A13" s="553"/>
      <c r="B13" s="461"/>
      <c r="C13" s="462"/>
      <c r="D13" s="463" t="s">
        <v>34</v>
      </c>
      <c r="E13" s="554" t="s">
        <v>268</v>
      </c>
      <c r="F13" s="555" t="s">
        <v>93</v>
      </c>
      <c r="G13" s="556"/>
      <c r="H13" s="557"/>
      <c r="I13" s="565"/>
      <c r="J13" s="562"/>
      <c r="K13" s="556">
        <v>100</v>
      </c>
      <c r="L13" s="559">
        <v>3458289.74</v>
      </c>
      <c r="M13" s="556">
        <v>100</v>
      </c>
      <c r="N13" s="559">
        <f>N15</f>
        <v>3458289.74</v>
      </c>
      <c r="O13" s="556">
        <v>25</v>
      </c>
      <c r="P13" s="562">
        <f>P15</f>
        <v>636785.30599999998</v>
      </c>
      <c r="Q13" s="736"/>
      <c r="R13" s="737"/>
      <c r="S13" s="560"/>
      <c r="T13" s="561"/>
      <c r="U13" s="560"/>
      <c r="V13" s="561"/>
      <c r="W13" s="556">
        <f>O13+Q13+S13+U13</f>
        <v>25</v>
      </c>
      <c r="X13" s="562">
        <f>P13+R13+T13+V13</f>
        <v>636785.30599999998</v>
      </c>
      <c r="Y13" s="558">
        <f>W13/M13*100</f>
        <v>25</v>
      </c>
      <c r="Z13" s="559">
        <f>X13/N13*100</f>
        <v>18.413301194364355</v>
      </c>
      <c r="AA13" s="558">
        <f>I13+W13</f>
        <v>25</v>
      </c>
      <c r="AB13" s="562">
        <f>J13+X13</f>
        <v>636785.30599999998</v>
      </c>
      <c r="AC13" s="563" t="e">
        <f>AA13/G13*100</f>
        <v>#DIV/0!</v>
      </c>
      <c r="AD13" s="564"/>
      <c r="AE13" s="553"/>
      <c r="AG13" s="439"/>
      <c r="AH13" s="439">
        <v>22500</v>
      </c>
      <c r="AI13" s="439">
        <v>54815</v>
      </c>
      <c r="AJ13" s="439">
        <v>0</v>
      </c>
    </row>
    <row r="14" spans="1:38" ht="36" customHeight="1" x14ac:dyDescent="0.25">
      <c r="A14" s="510"/>
      <c r="B14" s="526"/>
      <c r="C14" s="527"/>
      <c r="D14" s="513" t="s">
        <v>38</v>
      </c>
      <c r="E14" s="514"/>
      <c r="F14" s="510"/>
      <c r="G14" s="516"/>
      <c r="H14" s="515"/>
      <c r="I14" s="516"/>
      <c r="J14" s="517"/>
      <c r="K14" s="518"/>
      <c r="L14" s="522"/>
      <c r="M14" s="518"/>
      <c r="N14" s="522"/>
      <c r="O14" s="518"/>
      <c r="P14" s="520"/>
      <c r="Q14" s="738"/>
      <c r="R14" s="739"/>
      <c r="S14" s="518"/>
      <c r="T14" s="520"/>
      <c r="U14" s="518"/>
      <c r="V14" s="520"/>
      <c r="W14" s="518"/>
      <c r="X14" s="519"/>
      <c r="Y14" s="521"/>
      <c r="Z14" s="522"/>
      <c r="AA14" s="523"/>
      <c r="AB14" s="520"/>
      <c r="AC14" s="525"/>
      <c r="AD14" s="522"/>
      <c r="AE14" s="510"/>
    </row>
    <row r="15" spans="1:38" ht="36" customHeight="1" x14ac:dyDescent="0.25">
      <c r="A15" s="7">
        <v>3</v>
      </c>
      <c r="B15" s="385"/>
      <c r="C15" s="379"/>
      <c r="D15" s="6" t="s">
        <v>39</v>
      </c>
      <c r="E15" s="4" t="s">
        <v>89</v>
      </c>
      <c r="F15" s="7" t="s">
        <v>94</v>
      </c>
      <c r="G15" s="372"/>
      <c r="H15" s="373"/>
      <c r="I15" s="372"/>
      <c r="J15" s="422"/>
      <c r="K15" s="19"/>
      <c r="L15" s="29"/>
      <c r="M15" s="19">
        <v>12</v>
      </c>
      <c r="N15" s="29">
        <v>3458289.74</v>
      </c>
      <c r="O15" s="19">
        <v>3</v>
      </c>
      <c r="P15" s="68">
        <v>636785.30599999998</v>
      </c>
      <c r="Q15" s="418"/>
      <c r="R15" s="431"/>
      <c r="S15" s="19"/>
      <c r="T15" s="9"/>
      <c r="U15" s="19"/>
      <c r="V15" s="9"/>
      <c r="W15" s="19">
        <f t="shared" si="0"/>
        <v>3</v>
      </c>
      <c r="X15" s="68">
        <f t="shared" si="0"/>
        <v>636785.30599999998</v>
      </c>
      <c r="Y15" s="410">
        <f t="shared" si="1"/>
        <v>25</v>
      </c>
      <c r="Z15" s="29">
        <f t="shared" si="1"/>
        <v>18.413301194364355</v>
      </c>
      <c r="AA15" s="453">
        <f>I15+W15</f>
        <v>3</v>
      </c>
      <c r="AB15" s="9">
        <f t="shared" si="2"/>
        <v>636785.30599999998</v>
      </c>
      <c r="AC15" s="432" t="e">
        <f>AA15/G15*100</f>
        <v>#DIV/0!</v>
      </c>
      <c r="AD15" s="29" t="e">
        <f>AB15/H15*100</f>
        <v>#DIV/0!</v>
      </c>
      <c r="AE15" s="7"/>
    </row>
    <row r="16" spans="1:38" s="376" customFormat="1" ht="50.25" customHeight="1" x14ac:dyDescent="0.25">
      <c r="A16" s="553"/>
      <c r="B16" s="566" t="s">
        <v>222</v>
      </c>
      <c r="C16" s="567" t="s">
        <v>181</v>
      </c>
      <c r="D16" s="463" t="s">
        <v>34</v>
      </c>
      <c r="E16" s="554" t="s">
        <v>420</v>
      </c>
      <c r="F16" s="555" t="s">
        <v>93</v>
      </c>
      <c r="G16" s="556">
        <v>100</v>
      </c>
      <c r="H16" s="557">
        <f>H18+H20</f>
        <v>486500</v>
      </c>
      <c r="I16" s="558">
        <f>I20/G20*100</f>
        <v>14.583333333333334</v>
      </c>
      <c r="J16" s="557">
        <f>J18+J20</f>
        <v>124815</v>
      </c>
      <c r="K16" s="556">
        <v>100</v>
      </c>
      <c r="L16" s="557">
        <f>L18+L20</f>
        <v>55000</v>
      </c>
      <c r="M16" s="556">
        <v>100</v>
      </c>
      <c r="N16" s="557">
        <f>N18+N20</f>
        <v>55000</v>
      </c>
      <c r="O16" s="556">
        <f>O18+O20</f>
        <v>0</v>
      </c>
      <c r="P16" s="557">
        <f>P18+P20</f>
        <v>0</v>
      </c>
      <c r="Q16" s="736"/>
      <c r="R16" s="737"/>
      <c r="S16" s="560"/>
      <c r="T16" s="561"/>
      <c r="U16" s="560"/>
      <c r="V16" s="561"/>
      <c r="W16" s="556">
        <f>O16+Q16+S16+U16</f>
        <v>0</v>
      </c>
      <c r="X16" s="562">
        <f>P16+R16+T16+V16</f>
        <v>0</v>
      </c>
      <c r="Y16" s="558">
        <f>W16/M16*100</f>
        <v>0</v>
      </c>
      <c r="Z16" s="559">
        <f>X16/N16*100</f>
        <v>0</v>
      </c>
      <c r="AA16" s="558">
        <f>I16+W16</f>
        <v>14.583333333333334</v>
      </c>
      <c r="AB16" s="557">
        <f>J16+X16</f>
        <v>124815</v>
      </c>
      <c r="AC16" s="563">
        <f>AA16/G16*100</f>
        <v>14.583333333333334</v>
      </c>
      <c r="AD16" s="564">
        <f>AB16/H16*100</f>
        <v>25.655704008221992</v>
      </c>
      <c r="AE16" s="553"/>
      <c r="AG16" s="442"/>
      <c r="AH16" s="442">
        <v>14999</v>
      </c>
      <c r="AI16" s="442">
        <v>9892.2999999999993</v>
      </c>
      <c r="AJ16" s="442">
        <v>36280.629999999997</v>
      </c>
      <c r="AK16" s="443"/>
    </row>
    <row r="17" spans="1:36" ht="33" customHeight="1" x14ac:dyDescent="0.25">
      <c r="A17" s="510"/>
      <c r="B17" s="528"/>
      <c r="C17" s="529"/>
      <c r="D17" s="513" t="s">
        <v>40</v>
      </c>
      <c r="E17" s="514"/>
      <c r="F17" s="510"/>
      <c r="G17" s="516"/>
      <c r="H17" s="515"/>
      <c r="I17" s="516"/>
      <c r="J17" s="517"/>
      <c r="K17" s="518"/>
      <c r="L17" s="522"/>
      <c r="M17" s="518"/>
      <c r="N17" s="522"/>
      <c r="O17" s="518"/>
      <c r="P17" s="520"/>
      <c r="Q17" s="738"/>
      <c r="R17" s="739"/>
      <c r="S17" s="518"/>
      <c r="T17" s="520"/>
      <c r="U17" s="518"/>
      <c r="V17" s="520"/>
      <c r="W17" s="518"/>
      <c r="X17" s="519"/>
      <c r="Y17" s="521"/>
      <c r="Z17" s="522"/>
      <c r="AA17" s="523"/>
      <c r="AB17" s="520"/>
      <c r="AC17" s="525"/>
      <c r="AD17" s="522"/>
      <c r="AE17" s="510"/>
    </row>
    <row r="18" spans="1:36" ht="44.25" customHeight="1" x14ac:dyDescent="0.25">
      <c r="A18" s="7">
        <v>4</v>
      </c>
      <c r="B18" s="386" t="s">
        <v>422</v>
      </c>
      <c r="C18" s="380" t="s">
        <v>180</v>
      </c>
      <c r="D18" s="13" t="s">
        <v>41</v>
      </c>
      <c r="E18" s="472" t="s">
        <v>90</v>
      </c>
      <c r="F18" s="46" t="s">
        <v>195</v>
      </c>
      <c r="G18" s="604">
        <v>235</v>
      </c>
      <c r="H18" s="607">
        <v>221500</v>
      </c>
      <c r="I18" s="604">
        <f>0+50+95+0</f>
        <v>145</v>
      </c>
      <c r="J18" s="607">
        <f>0+22500+54815+0</f>
        <v>77315</v>
      </c>
      <c r="K18" s="459">
        <v>60</v>
      </c>
      <c r="L18" s="69">
        <v>30000</v>
      </c>
      <c r="M18" s="459">
        <v>60</v>
      </c>
      <c r="N18" s="69">
        <v>30000</v>
      </c>
      <c r="O18" s="459">
        <v>0</v>
      </c>
      <c r="P18" s="69">
        <v>0</v>
      </c>
      <c r="Q18" s="604"/>
      <c r="R18" s="607"/>
      <c r="S18" s="459"/>
      <c r="T18" s="69"/>
      <c r="U18" s="459"/>
      <c r="V18" s="69"/>
      <c r="W18" s="459">
        <f t="shared" si="0"/>
        <v>0</v>
      </c>
      <c r="X18" s="594">
        <f t="shared" si="0"/>
        <v>0</v>
      </c>
      <c r="Y18" s="596">
        <f t="shared" si="1"/>
        <v>0</v>
      </c>
      <c r="Z18" s="57">
        <f t="shared" si="1"/>
        <v>0</v>
      </c>
      <c r="AA18" s="599">
        <f>I18+W18</f>
        <v>145</v>
      </c>
      <c r="AB18" s="69">
        <f t="shared" si="2"/>
        <v>77315</v>
      </c>
      <c r="AC18" s="641">
        <f>AA18/G18*100</f>
        <v>61.702127659574465</v>
      </c>
      <c r="AD18" s="57">
        <f>AB18/H18*100</f>
        <v>34.905191873589168</v>
      </c>
      <c r="AE18" s="46"/>
    </row>
    <row r="19" spans="1:36" ht="45.75" customHeight="1" x14ac:dyDescent="0.25">
      <c r="A19" s="7"/>
      <c r="B19" s="464" t="s">
        <v>224</v>
      </c>
      <c r="C19" s="470" t="s">
        <v>183</v>
      </c>
      <c r="D19" s="691"/>
      <c r="E19" s="472"/>
      <c r="F19" s="46"/>
      <c r="G19" s="650"/>
      <c r="H19" s="607"/>
      <c r="I19" s="604"/>
      <c r="J19" s="607"/>
      <c r="K19" s="459"/>
      <c r="L19" s="57"/>
      <c r="M19" s="459"/>
      <c r="N19" s="57"/>
      <c r="O19" s="459"/>
      <c r="P19" s="69"/>
      <c r="Q19" s="604"/>
      <c r="R19" s="607"/>
      <c r="S19" s="504"/>
      <c r="T19" s="69"/>
      <c r="U19" s="459"/>
      <c r="V19" s="69"/>
      <c r="W19" s="459"/>
      <c r="X19" s="594"/>
      <c r="Y19" s="596"/>
      <c r="Z19" s="57"/>
      <c r="AA19" s="599"/>
      <c r="AB19" s="69"/>
      <c r="AC19" s="596"/>
      <c r="AD19" s="57"/>
      <c r="AE19" s="46"/>
    </row>
    <row r="20" spans="1:36" ht="43.5" customHeight="1" x14ac:dyDescent="0.25">
      <c r="A20" s="7">
        <v>5</v>
      </c>
      <c r="B20" s="384" t="s">
        <v>225</v>
      </c>
      <c r="C20" s="381" t="s">
        <v>182</v>
      </c>
      <c r="D20" s="14" t="s">
        <v>42</v>
      </c>
      <c r="E20" s="473" t="s">
        <v>91</v>
      </c>
      <c r="F20" s="47" t="s">
        <v>112</v>
      </c>
      <c r="G20" s="680">
        <v>96</v>
      </c>
      <c r="H20" s="600">
        <v>265000</v>
      </c>
      <c r="I20" s="593">
        <f>0+5+9+0</f>
        <v>14</v>
      </c>
      <c r="J20" s="600">
        <f>0+22500+25000+0</f>
        <v>47500</v>
      </c>
      <c r="K20" s="55">
        <v>14</v>
      </c>
      <c r="L20" s="67">
        <v>25000</v>
      </c>
      <c r="M20" s="55">
        <v>9</v>
      </c>
      <c r="N20" s="67">
        <v>25000</v>
      </c>
      <c r="O20" s="55">
        <v>0</v>
      </c>
      <c r="P20" s="67">
        <v>0</v>
      </c>
      <c r="Q20" s="593"/>
      <c r="R20" s="600"/>
      <c r="S20" s="505"/>
      <c r="T20" s="67"/>
      <c r="U20" s="55"/>
      <c r="V20" s="67"/>
      <c r="W20" s="55">
        <f t="shared" si="0"/>
        <v>0</v>
      </c>
      <c r="X20" s="589">
        <f t="shared" si="0"/>
        <v>0</v>
      </c>
      <c r="Y20" s="590">
        <f t="shared" si="1"/>
        <v>0</v>
      </c>
      <c r="Z20" s="493">
        <f t="shared" si="1"/>
        <v>0</v>
      </c>
      <c r="AA20" s="591">
        <f>I20+W20</f>
        <v>14</v>
      </c>
      <c r="AB20" s="67">
        <f t="shared" si="2"/>
        <v>47500</v>
      </c>
      <c r="AC20" s="590">
        <f>AA20/G20*100</f>
        <v>14.583333333333334</v>
      </c>
      <c r="AD20" s="493">
        <f>AB20/H20*100</f>
        <v>17.924528301886792</v>
      </c>
      <c r="AE20" s="47"/>
    </row>
    <row r="21" spans="1:36" s="404" customFormat="1" ht="45" customHeight="1" x14ac:dyDescent="0.25">
      <c r="A21" s="463"/>
      <c r="B21" s="566" t="s">
        <v>187</v>
      </c>
      <c r="C21" s="567" t="s">
        <v>171</v>
      </c>
      <c r="D21" s="632" t="s">
        <v>34</v>
      </c>
      <c r="E21" s="633" t="s">
        <v>254</v>
      </c>
      <c r="F21" s="634" t="s">
        <v>93</v>
      </c>
      <c r="G21" s="635">
        <v>100</v>
      </c>
      <c r="H21" s="636">
        <f>H23+H24+H25+H26+H27+H29+H30</f>
        <v>7672000</v>
      </c>
      <c r="I21" s="635">
        <f>I23/G23*100</f>
        <v>80</v>
      </c>
      <c r="J21" s="637">
        <f>J23+J24+J25+J26+J27+J29+J30</f>
        <v>4981679.0649999995</v>
      </c>
      <c r="K21" s="635">
        <v>100</v>
      </c>
      <c r="L21" s="638">
        <f>L23+L24+L25+L26+L27+L29+L30</f>
        <v>1614286.7999999998</v>
      </c>
      <c r="M21" s="635">
        <v>100</v>
      </c>
      <c r="N21" s="639">
        <f>N23+N25+N26+N27+N29+N30</f>
        <v>1511120</v>
      </c>
      <c r="O21" s="635">
        <v>25</v>
      </c>
      <c r="P21" s="640">
        <f>P23+P25+P26+P27+P29+P30</f>
        <v>168858.269</v>
      </c>
      <c r="Q21" s="740"/>
      <c r="R21" s="740"/>
      <c r="S21" s="632"/>
      <c r="T21" s="632"/>
      <c r="U21" s="632"/>
      <c r="V21" s="632"/>
      <c r="W21" s="635">
        <v>25</v>
      </c>
      <c r="X21" s="637">
        <f>P21+R21+T21+V21</f>
        <v>168858.269</v>
      </c>
      <c r="Y21" s="642">
        <v>25</v>
      </c>
      <c r="Z21" s="643">
        <f>X21/N21*100</f>
        <v>11.174378540420351</v>
      </c>
      <c r="AA21" s="644">
        <f>I21+W21</f>
        <v>105</v>
      </c>
      <c r="AB21" s="761">
        <f>J21+X21</f>
        <v>5150537.3339999998</v>
      </c>
      <c r="AC21" s="645">
        <f>AA21/G21*100</f>
        <v>105</v>
      </c>
      <c r="AD21" s="642">
        <f>AB21/H21*100</f>
        <v>67.134219681960374</v>
      </c>
      <c r="AE21" s="632"/>
      <c r="AG21" s="440">
        <v>271866</v>
      </c>
      <c r="AH21" s="440">
        <v>513410</v>
      </c>
      <c r="AI21" s="440">
        <f>291044-5794</f>
        <v>285250</v>
      </c>
      <c r="AJ21" s="440">
        <v>246285.989</v>
      </c>
    </row>
    <row r="22" spans="1:36" s="376" customFormat="1" ht="33" customHeight="1" x14ac:dyDescent="0.25">
      <c r="A22" s="531"/>
      <c r="B22" s="528"/>
      <c r="C22" s="529"/>
      <c r="D22" s="532" t="s">
        <v>43</v>
      </c>
      <c r="E22" s="533"/>
      <c r="F22" s="534"/>
      <c r="G22" s="535"/>
      <c r="H22" s="536"/>
      <c r="I22" s="535"/>
      <c r="J22" s="537"/>
      <c r="K22" s="538"/>
      <c r="L22" s="524"/>
      <c r="M22" s="540"/>
      <c r="N22" s="542"/>
      <c r="O22" s="540"/>
      <c r="P22" s="542"/>
      <c r="Q22" s="741"/>
      <c r="R22" s="742"/>
      <c r="S22" s="540"/>
      <c r="T22" s="542"/>
      <c r="U22" s="540"/>
      <c r="V22" s="542"/>
      <c r="W22" s="540"/>
      <c r="X22" s="584"/>
      <c r="Y22" s="585"/>
      <c r="Z22" s="541"/>
      <c r="AA22" s="586"/>
      <c r="AB22" s="587"/>
      <c r="AC22" s="588"/>
      <c r="AD22" s="541"/>
      <c r="AE22" s="534"/>
    </row>
    <row r="23" spans="1:36" ht="32.25" customHeight="1" x14ac:dyDescent="0.25">
      <c r="A23" s="7">
        <v>6</v>
      </c>
      <c r="B23" s="384" t="s">
        <v>202</v>
      </c>
      <c r="C23" s="381" t="s">
        <v>173</v>
      </c>
      <c r="D23" s="13" t="s">
        <v>44</v>
      </c>
      <c r="E23" s="51" t="s">
        <v>92</v>
      </c>
      <c r="F23" s="46" t="s">
        <v>94</v>
      </c>
      <c r="G23" s="141">
        <v>60</v>
      </c>
      <c r="H23" s="142">
        <v>224000</v>
      </c>
      <c r="I23" s="418">
        <f>12+12+12+12</f>
        <v>48</v>
      </c>
      <c r="J23" s="681">
        <f>39219+39999+31995+21499.5</f>
        <v>132712.5</v>
      </c>
      <c r="K23" s="19">
        <v>12</v>
      </c>
      <c r="L23" s="65">
        <v>46887.9</v>
      </c>
      <c r="M23" s="500">
        <v>12</v>
      </c>
      <c r="N23" s="502">
        <v>96622.7</v>
      </c>
      <c r="O23" s="504">
        <v>3</v>
      </c>
      <c r="P23" s="580">
        <v>10426.9</v>
      </c>
      <c r="Q23" s="650"/>
      <c r="R23" s="743"/>
      <c r="S23" s="459"/>
      <c r="T23" s="69"/>
      <c r="U23" s="459"/>
      <c r="V23" s="583"/>
      <c r="W23" s="459">
        <f t="shared" si="0"/>
        <v>3</v>
      </c>
      <c r="X23" s="594">
        <f t="shared" si="0"/>
        <v>10426.9</v>
      </c>
      <c r="Y23" s="596">
        <f t="shared" si="1"/>
        <v>25</v>
      </c>
      <c r="Z23" s="57">
        <f t="shared" si="1"/>
        <v>10.791356482482895</v>
      </c>
      <c r="AA23" s="599">
        <f>I23+W23</f>
        <v>51</v>
      </c>
      <c r="AB23" s="69">
        <f t="shared" si="2"/>
        <v>143139.4</v>
      </c>
      <c r="AC23" s="596">
        <f>AA23/G23*100</f>
        <v>85</v>
      </c>
      <c r="AD23" s="57">
        <f>AB23/H23*100</f>
        <v>63.901517857142856</v>
      </c>
      <c r="AE23" s="46"/>
    </row>
    <row r="24" spans="1:36" ht="40.5" customHeight="1" x14ac:dyDescent="0.25">
      <c r="A24" s="7"/>
      <c r="B24" s="384" t="s">
        <v>203</v>
      </c>
      <c r="C24" s="381" t="s">
        <v>44</v>
      </c>
      <c r="D24" s="14"/>
      <c r="E24" s="51" t="s">
        <v>96</v>
      </c>
      <c r="F24" s="7" t="s">
        <v>94</v>
      </c>
      <c r="G24" s="141">
        <v>60</v>
      </c>
      <c r="H24" s="142">
        <v>167500</v>
      </c>
      <c r="I24" s="418">
        <f>12+12+12+12</f>
        <v>48</v>
      </c>
      <c r="J24" s="681">
        <f>21595+24716+41560+43561.5</f>
        <v>131432.5</v>
      </c>
      <c r="K24" s="19">
        <v>12</v>
      </c>
      <c r="L24" s="66">
        <v>45000</v>
      </c>
      <c r="M24" s="501"/>
      <c r="N24" s="503"/>
      <c r="O24" s="505"/>
      <c r="P24" s="581"/>
      <c r="Q24" s="680"/>
      <c r="R24" s="600"/>
      <c r="S24" s="55"/>
      <c r="T24" s="67"/>
      <c r="U24" s="55"/>
      <c r="V24" s="581"/>
      <c r="W24" s="593">
        <f t="shared" si="0"/>
        <v>0</v>
      </c>
      <c r="X24" s="595">
        <f t="shared" si="0"/>
        <v>0</v>
      </c>
      <c r="Y24" s="597" t="e">
        <f t="shared" si="1"/>
        <v>#DIV/0!</v>
      </c>
      <c r="Z24" s="598" t="e">
        <f t="shared" si="1"/>
        <v>#DIV/0!</v>
      </c>
      <c r="AA24" s="601">
        <f>I24+W24</f>
        <v>48</v>
      </c>
      <c r="AB24" s="600">
        <f t="shared" si="2"/>
        <v>131432.5</v>
      </c>
      <c r="AC24" s="597">
        <f t="shared" ref="AC24:AD76" si="3">AA24/G24*100</f>
        <v>80</v>
      </c>
      <c r="AD24" s="598">
        <f t="shared" si="3"/>
        <v>78.467164179104472</v>
      </c>
      <c r="AE24" s="47"/>
    </row>
    <row r="25" spans="1:36" ht="53.25" customHeight="1" x14ac:dyDescent="0.25">
      <c r="A25" s="7">
        <v>7</v>
      </c>
      <c r="B25" s="384" t="s">
        <v>204</v>
      </c>
      <c r="C25" s="380" t="s">
        <v>174</v>
      </c>
      <c r="D25" s="14" t="s">
        <v>45</v>
      </c>
      <c r="E25" s="4" t="s">
        <v>97</v>
      </c>
      <c r="F25" s="47" t="s">
        <v>94</v>
      </c>
      <c r="G25" s="418">
        <v>60</v>
      </c>
      <c r="H25" s="142">
        <v>545000</v>
      </c>
      <c r="I25" s="418">
        <f>12+12+12+12</f>
        <v>48</v>
      </c>
      <c r="J25" s="431">
        <f>98426+84665+104792+161491.228</f>
        <v>449374.228</v>
      </c>
      <c r="K25" s="19">
        <v>11</v>
      </c>
      <c r="L25" s="9">
        <v>127501</v>
      </c>
      <c r="M25" s="55">
        <v>12</v>
      </c>
      <c r="N25" s="67">
        <v>127501</v>
      </c>
      <c r="O25" s="55">
        <v>2</v>
      </c>
      <c r="P25" s="506">
        <v>23478.5</v>
      </c>
      <c r="Q25" s="593"/>
      <c r="R25" s="744"/>
      <c r="S25" s="55"/>
      <c r="T25" s="67"/>
      <c r="U25" s="55"/>
      <c r="V25" s="67"/>
      <c r="W25" s="55">
        <f t="shared" si="0"/>
        <v>2</v>
      </c>
      <c r="X25" s="589">
        <f t="shared" si="0"/>
        <v>23478.5</v>
      </c>
      <c r="Y25" s="590">
        <f t="shared" si="1"/>
        <v>16.666666666666664</v>
      </c>
      <c r="Z25" s="493">
        <f t="shared" si="1"/>
        <v>18.414365377526451</v>
      </c>
      <c r="AA25" s="591">
        <f>I25+W25</f>
        <v>50</v>
      </c>
      <c r="AB25" s="67">
        <f t="shared" si="2"/>
        <v>472852.728</v>
      </c>
      <c r="AC25" s="592">
        <f t="shared" si="3"/>
        <v>83.333333333333343</v>
      </c>
      <c r="AD25" s="493">
        <f t="shared" si="3"/>
        <v>86.761968440366971</v>
      </c>
      <c r="AE25" s="47"/>
    </row>
    <row r="26" spans="1:36" ht="40.5" customHeight="1" x14ac:dyDescent="0.25">
      <c r="A26" s="7">
        <v>8</v>
      </c>
      <c r="B26" s="384" t="s">
        <v>206</v>
      </c>
      <c r="C26" s="380" t="s">
        <v>190</v>
      </c>
      <c r="D26" s="6" t="s">
        <v>46</v>
      </c>
      <c r="E26" s="4" t="s">
        <v>98</v>
      </c>
      <c r="F26" s="7" t="s">
        <v>94</v>
      </c>
      <c r="G26" s="418">
        <v>60</v>
      </c>
      <c r="H26" s="142">
        <v>175500</v>
      </c>
      <c r="I26" s="418">
        <f>12+12+12+12</f>
        <v>48</v>
      </c>
      <c r="J26" s="681">
        <f>33000+29995+34978+45485.3</f>
        <v>143458.29999999999</v>
      </c>
      <c r="K26" s="19">
        <v>12</v>
      </c>
      <c r="L26" s="9">
        <v>35000</v>
      </c>
      <c r="M26" s="19">
        <v>12</v>
      </c>
      <c r="N26" s="9">
        <v>35000</v>
      </c>
      <c r="O26" s="19">
        <v>3</v>
      </c>
      <c r="P26" s="29">
        <v>9582.65</v>
      </c>
      <c r="Q26" s="418"/>
      <c r="R26" s="420"/>
      <c r="S26" s="19"/>
      <c r="T26" s="9"/>
      <c r="U26" s="19"/>
      <c r="V26" s="9"/>
      <c r="W26" s="19">
        <f t="shared" si="0"/>
        <v>3</v>
      </c>
      <c r="X26" s="68">
        <f t="shared" si="0"/>
        <v>9582.65</v>
      </c>
      <c r="Y26" s="410">
        <f t="shared" si="1"/>
        <v>25</v>
      </c>
      <c r="Z26" s="29">
        <f t="shared" si="1"/>
        <v>27.378999999999998</v>
      </c>
      <c r="AA26" s="453">
        <f>I26+W26</f>
        <v>51</v>
      </c>
      <c r="AB26" s="9">
        <f t="shared" si="2"/>
        <v>153040.94999999998</v>
      </c>
      <c r="AC26" s="432">
        <f t="shared" si="3"/>
        <v>85</v>
      </c>
      <c r="AD26" s="29">
        <f t="shared" si="3"/>
        <v>87.202820512820495</v>
      </c>
      <c r="AE26" s="7"/>
    </row>
    <row r="27" spans="1:36" ht="45" customHeight="1" x14ac:dyDescent="0.25">
      <c r="A27" s="46">
        <v>9</v>
      </c>
      <c r="B27" s="384" t="s">
        <v>205</v>
      </c>
      <c r="C27" s="380" t="s">
        <v>191</v>
      </c>
      <c r="D27" s="6" t="s">
        <v>47</v>
      </c>
      <c r="E27" s="4" t="s">
        <v>99</v>
      </c>
      <c r="F27" s="7" t="s">
        <v>94</v>
      </c>
      <c r="G27" s="418">
        <v>60</v>
      </c>
      <c r="H27" s="142">
        <v>3655000</v>
      </c>
      <c r="I27" s="418">
        <f>12+12+12+12</f>
        <v>48</v>
      </c>
      <c r="J27" s="431">
        <f>274635+729772+699881+489525.481</f>
        <v>2193813.4810000001</v>
      </c>
      <c r="K27" s="19">
        <v>12</v>
      </c>
      <c r="L27" s="9">
        <v>750000</v>
      </c>
      <c r="M27" s="19">
        <v>12</v>
      </c>
      <c r="N27" s="9">
        <v>637500</v>
      </c>
      <c r="O27" s="19">
        <v>3</v>
      </c>
      <c r="P27" s="23">
        <v>57122.5</v>
      </c>
      <c r="Q27" s="418"/>
      <c r="R27" s="681"/>
      <c r="S27" s="19"/>
      <c r="T27" s="9"/>
      <c r="U27" s="19"/>
      <c r="V27" s="9"/>
      <c r="W27" s="19">
        <f t="shared" si="0"/>
        <v>3</v>
      </c>
      <c r="X27" s="68">
        <f t="shared" si="0"/>
        <v>57122.5</v>
      </c>
      <c r="Y27" s="410">
        <f t="shared" si="1"/>
        <v>25</v>
      </c>
      <c r="Z27" s="29">
        <f t="shared" si="1"/>
        <v>8.9603921568627456</v>
      </c>
      <c r="AA27" s="453">
        <f>I27+W27</f>
        <v>51</v>
      </c>
      <c r="AB27" s="9">
        <f t="shared" si="2"/>
        <v>2250935.9810000001</v>
      </c>
      <c r="AC27" s="432">
        <f t="shared" si="3"/>
        <v>85</v>
      </c>
      <c r="AD27" s="29">
        <f t="shared" si="3"/>
        <v>61.585115759233929</v>
      </c>
      <c r="AE27" s="7"/>
    </row>
    <row r="28" spans="1:36" s="376" customFormat="1" ht="49.5" customHeight="1" x14ac:dyDescent="0.25">
      <c r="A28" s="534"/>
      <c r="B28" s="694" t="s">
        <v>187</v>
      </c>
      <c r="C28" s="460" t="s">
        <v>171</v>
      </c>
      <c r="D28" s="513" t="s">
        <v>52</v>
      </c>
      <c r="E28" s="512"/>
      <c r="F28" s="531"/>
      <c r="G28" s="718"/>
      <c r="H28" s="719"/>
      <c r="I28" s="718"/>
      <c r="J28" s="720"/>
      <c r="K28" s="538"/>
      <c r="L28" s="539"/>
      <c r="M28" s="538"/>
      <c r="N28" s="539"/>
      <c r="O28" s="538"/>
      <c r="P28" s="524"/>
      <c r="Q28" s="718"/>
      <c r="R28" s="719"/>
      <c r="S28" s="538"/>
      <c r="T28" s="524"/>
      <c r="U28" s="538"/>
      <c r="V28" s="524"/>
      <c r="W28" s="538"/>
      <c r="X28" s="543"/>
      <c r="Y28" s="544"/>
      <c r="Z28" s="539"/>
      <c r="AA28" s="523"/>
      <c r="AB28" s="520"/>
      <c r="AC28" s="546"/>
      <c r="AD28" s="524"/>
      <c r="AE28" s="531"/>
    </row>
    <row r="29" spans="1:36" ht="51.75" customHeight="1" x14ac:dyDescent="0.25">
      <c r="A29" s="47">
        <v>10</v>
      </c>
      <c r="B29" s="688" t="s">
        <v>199</v>
      </c>
      <c r="C29" s="383" t="s">
        <v>53</v>
      </c>
      <c r="D29" s="6" t="s">
        <v>53</v>
      </c>
      <c r="E29" s="4" t="s">
        <v>104</v>
      </c>
      <c r="F29" s="7" t="s">
        <v>94</v>
      </c>
      <c r="G29" s="418">
        <v>60</v>
      </c>
      <c r="H29" s="142">
        <v>705000</v>
      </c>
      <c r="I29" s="418">
        <v>48</v>
      </c>
      <c r="J29" s="431">
        <f>71532+96034+85915+87424.982</f>
        <v>340905.98200000002</v>
      </c>
      <c r="K29" s="19">
        <v>12</v>
      </c>
      <c r="L29" s="9">
        <v>150000</v>
      </c>
      <c r="M29" s="19">
        <v>12</v>
      </c>
      <c r="N29" s="9">
        <v>150000</v>
      </c>
      <c r="O29" s="19">
        <v>3</v>
      </c>
      <c r="P29" s="68">
        <v>21598.556</v>
      </c>
      <c r="Q29" s="418"/>
      <c r="R29" s="431"/>
      <c r="S29" s="19"/>
      <c r="T29" s="9"/>
      <c r="U29" s="19"/>
      <c r="V29" s="9"/>
      <c r="W29" s="19">
        <f t="shared" ref="W29:X31" si="4">O29+Q29+S29+U29</f>
        <v>3</v>
      </c>
      <c r="X29" s="68">
        <f t="shared" si="4"/>
        <v>21598.556</v>
      </c>
      <c r="Y29" s="410">
        <f t="shared" ref="Y29:Z31" si="5">W29/M29*100</f>
        <v>25</v>
      </c>
      <c r="Z29" s="29">
        <f t="shared" si="5"/>
        <v>14.399037333333334</v>
      </c>
      <c r="AA29" s="453">
        <f>I29+W29</f>
        <v>51</v>
      </c>
      <c r="AB29" s="9">
        <f>X29+J29</f>
        <v>362504.538</v>
      </c>
      <c r="AC29" s="432">
        <f t="shared" ref="AC29:AD31" si="6">AA29/G29*100</f>
        <v>85</v>
      </c>
      <c r="AD29" s="29">
        <f t="shared" si="6"/>
        <v>51.419083404255318</v>
      </c>
      <c r="AE29" s="7"/>
    </row>
    <row r="30" spans="1:36" ht="36.75" customHeight="1" x14ac:dyDescent="0.25">
      <c r="A30" s="47">
        <v>11</v>
      </c>
      <c r="B30" s="384" t="s">
        <v>200</v>
      </c>
      <c r="C30" s="380" t="s">
        <v>172</v>
      </c>
      <c r="D30" s="6" t="s">
        <v>54</v>
      </c>
      <c r="E30" s="4" t="s">
        <v>105</v>
      </c>
      <c r="F30" s="7" t="s">
        <v>94</v>
      </c>
      <c r="G30" s="418">
        <v>60</v>
      </c>
      <c r="H30" s="142">
        <v>2200000</v>
      </c>
      <c r="I30" s="418">
        <v>48</v>
      </c>
      <c r="J30" s="431">
        <f>365575+387224+413776+423407.074</f>
        <v>1589982.074</v>
      </c>
      <c r="K30" s="19">
        <v>12</v>
      </c>
      <c r="L30" s="23">
        <v>459897.9</v>
      </c>
      <c r="M30" s="19">
        <v>12</v>
      </c>
      <c r="N30" s="23">
        <v>464496.3</v>
      </c>
      <c r="O30" s="19">
        <v>3</v>
      </c>
      <c r="P30" s="68">
        <v>46649.163</v>
      </c>
      <c r="Q30" s="418"/>
      <c r="R30" s="431"/>
      <c r="S30" s="19"/>
      <c r="T30" s="9"/>
      <c r="U30" s="19"/>
      <c r="V30" s="9"/>
      <c r="W30" s="19">
        <f t="shared" si="4"/>
        <v>3</v>
      </c>
      <c r="X30" s="68">
        <f t="shared" si="4"/>
        <v>46649.163</v>
      </c>
      <c r="Y30" s="410">
        <f t="shared" si="5"/>
        <v>25</v>
      </c>
      <c r="Z30" s="29">
        <f t="shared" si="5"/>
        <v>10.042956854554062</v>
      </c>
      <c r="AA30" s="453">
        <f>I30+W30</f>
        <v>51</v>
      </c>
      <c r="AB30" s="9">
        <f>X30+J30</f>
        <v>1636631.237</v>
      </c>
      <c r="AC30" s="432">
        <f t="shared" si="6"/>
        <v>85</v>
      </c>
      <c r="AD30" s="29">
        <f t="shared" si="6"/>
        <v>74.392328954545448</v>
      </c>
      <c r="AE30" s="7"/>
    </row>
    <row r="31" spans="1:36" s="376" customFormat="1" ht="53.25" customHeight="1" x14ac:dyDescent="0.25">
      <c r="A31" s="553"/>
      <c r="B31" s="566" t="s">
        <v>201</v>
      </c>
      <c r="C31" s="567" t="s">
        <v>175</v>
      </c>
      <c r="D31" s="463" t="s">
        <v>34</v>
      </c>
      <c r="E31" s="554" t="s">
        <v>255</v>
      </c>
      <c r="F31" s="555" t="s">
        <v>93</v>
      </c>
      <c r="G31" s="556">
        <v>100</v>
      </c>
      <c r="H31" s="557">
        <f>H33+H34+H35+H37+H38+H39</f>
        <v>3570750</v>
      </c>
      <c r="I31" s="565">
        <f>I25/G25*100</f>
        <v>80</v>
      </c>
      <c r="J31" s="562">
        <f>J33+J34+J35+J37+J38+J39</f>
        <v>1316812.9890000001</v>
      </c>
      <c r="K31" s="556">
        <v>100</v>
      </c>
      <c r="L31" s="562">
        <f>L33+L34+L35+L37+L38+L39</f>
        <v>842190.52799999993</v>
      </c>
      <c r="M31" s="556">
        <v>100</v>
      </c>
      <c r="N31" s="559">
        <f>N33+N34+N35+N37+N38+N39</f>
        <v>842056.86</v>
      </c>
      <c r="O31" s="556">
        <v>25</v>
      </c>
      <c r="P31" s="562">
        <f>P33+P34+P35+P37+P38+P39</f>
        <v>49343.186999999998</v>
      </c>
      <c r="Q31" s="736"/>
      <c r="R31" s="737"/>
      <c r="S31" s="560"/>
      <c r="T31" s="561"/>
      <c r="U31" s="560"/>
      <c r="V31" s="561"/>
      <c r="W31" s="556">
        <f t="shared" si="4"/>
        <v>25</v>
      </c>
      <c r="X31" s="562">
        <f t="shared" si="4"/>
        <v>49343.186999999998</v>
      </c>
      <c r="Y31" s="558">
        <f t="shared" si="5"/>
        <v>25</v>
      </c>
      <c r="Z31" s="559">
        <f t="shared" si="5"/>
        <v>5.8598402725440657</v>
      </c>
      <c r="AA31" s="558">
        <f>I31+W31</f>
        <v>105</v>
      </c>
      <c r="AB31" s="562">
        <f>J31+X31</f>
        <v>1366156.176</v>
      </c>
      <c r="AC31" s="563">
        <f t="shared" si="6"/>
        <v>105</v>
      </c>
      <c r="AD31" s="564">
        <f t="shared" si="6"/>
        <v>38.259642260029402</v>
      </c>
      <c r="AE31" s="553"/>
      <c r="AG31" s="441"/>
      <c r="AH31" s="442">
        <v>22500</v>
      </c>
      <c r="AI31" s="442">
        <v>25000</v>
      </c>
      <c r="AJ31" s="441">
        <v>0</v>
      </c>
    </row>
    <row r="32" spans="1:36" s="376" customFormat="1" ht="45.75" customHeight="1" x14ac:dyDescent="0.25">
      <c r="A32" s="531"/>
      <c r="B32" s="528"/>
      <c r="C32" s="529"/>
      <c r="D32" s="513" t="s">
        <v>48</v>
      </c>
      <c r="E32" s="533"/>
      <c r="F32" s="531"/>
      <c r="G32" s="535"/>
      <c r="H32" s="536"/>
      <c r="I32" s="535"/>
      <c r="J32" s="537"/>
      <c r="K32" s="538"/>
      <c r="L32" s="539"/>
      <c r="M32" s="538"/>
      <c r="N32" s="539"/>
      <c r="O32" s="538"/>
      <c r="P32" s="524"/>
      <c r="Q32" s="718"/>
      <c r="R32" s="719"/>
      <c r="S32" s="538"/>
      <c r="T32" s="524"/>
      <c r="U32" s="538"/>
      <c r="V32" s="524"/>
      <c r="W32" s="538"/>
      <c r="X32" s="543"/>
      <c r="Y32" s="544"/>
      <c r="Z32" s="539"/>
      <c r="AA32" s="523"/>
      <c r="AB32" s="520"/>
      <c r="AC32" s="525"/>
      <c r="AD32" s="524"/>
      <c r="AE32" s="531"/>
    </row>
    <row r="33" spans="1:40" ht="39" customHeight="1" x14ac:dyDescent="0.25">
      <c r="A33" s="7">
        <v>12</v>
      </c>
      <c r="B33" s="384" t="s">
        <v>257</v>
      </c>
      <c r="C33" s="380" t="s">
        <v>256</v>
      </c>
      <c r="D33" s="6" t="s">
        <v>49</v>
      </c>
      <c r="E33" s="4" t="s">
        <v>100</v>
      </c>
      <c r="F33" s="15" t="s">
        <v>251</v>
      </c>
      <c r="G33" s="418">
        <v>48</v>
      </c>
      <c r="H33" s="142">
        <v>455000</v>
      </c>
      <c r="I33" s="418">
        <v>0</v>
      </c>
      <c r="J33" s="142">
        <v>0</v>
      </c>
      <c r="K33" s="19">
        <v>12</v>
      </c>
      <c r="L33" s="9">
        <v>124319</v>
      </c>
      <c r="M33" s="19">
        <v>197</v>
      </c>
      <c r="N33" s="9">
        <v>124310</v>
      </c>
      <c r="O33" s="19">
        <v>0</v>
      </c>
      <c r="P33" s="9">
        <v>0</v>
      </c>
      <c r="Q33" s="418"/>
      <c r="R33" s="142"/>
      <c r="S33" s="19"/>
      <c r="T33" s="9"/>
      <c r="U33" s="19"/>
      <c r="V33" s="9"/>
      <c r="W33" s="19">
        <f t="shared" si="0"/>
        <v>0</v>
      </c>
      <c r="X33" s="68">
        <f t="shared" si="0"/>
        <v>0</v>
      </c>
      <c r="Y33" s="410">
        <f t="shared" si="1"/>
        <v>0</v>
      </c>
      <c r="Z33" s="29">
        <f t="shared" si="1"/>
        <v>0</v>
      </c>
      <c r="AA33" s="453">
        <f t="shared" ref="AA33:AA40" si="7">I33+W33</f>
        <v>0</v>
      </c>
      <c r="AB33" s="9">
        <f t="shared" si="2"/>
        <v>0</v>
      </c>
      <c r="AC33" s="432">
        <f t="shared" si="3"/>
        <v>0</v>
      </c>
      <c r="AD33" s="29">
        <f t="shared" si="3"/>
        <v>0</v>
      </c>
      <c r="AE33" s="7"/>
    </row>
    <row r="34" spans="1:40" ht="39.75" customHeight="1" x14ac:dyDescent="0.25">
      <c r="A34" s="7">
        <v>13</v>
      </c>
      <c r="B34" s="384" t="s">
        <v>226</v>
      </c>
      <c r="C34" s="380" t="s">
        <v>176</v>
      </c>
      <c r="D34" s="6" t="s">
        <v>50</v>
      </c>
      <c r="E34" s="4" t="s">
        <v>102</v>
      </c>
      <c r="F34" s="15" t="s">
        <v>251</v>
      </c>
      <c r="G34" s="418">
        <v>60</v>
      </c>
      <c r="H34" s="142">
        <v>865750</v>
      </c>
      <c r="I34" s="418">
        <v>18</v>
      </c>
      <c r="J34" s="142">
        <f>0+143875+0+0</f>
        <v>143875</v>
      </c>
      <c r="K34" s="19">
        <v>12</v>
      </c>
      <c r="L34" s="9">
        <v>179270</v>
      </c>
      <c r="M34" s="19">
        <v>47</v>
      </c>
      <c r="N34" s="9">
        <v>179270</v>
      </c>
      <c r="O34" s="19">
        <v>0</v>
      </c>
      <c r="P34" s="9">
        <v>0</v>
      </c>
      <c r="Q34" s="418"/>
      <c r="R34" s="142"/>
      <c r="S34" s="19"/>
      <c r="T34" s="9"/>
      <c r="U34" s="19"/>
      <c r="V34" s="9"/>
      <c r="W34" s="19">
        <f t="shared" si="0"/>
        <v>0</v>
      </c>
      <c r="X34" s="68">
        <f t="shared" si="0"/>
        <v>0</v>
      </c>
      <c r="Y34" s="410">
        <f t="shared" si="1"/>
        <v>0</v>
      </c>
      <c r="Z34" s="29">
        <f t="shared" si="1"/>
        <v>0</v>
      </c>
      <c r="AA34" s="453">
        <f t="shared" si="7"/>
        <v>18</v>
      </c>
      <c r="AB34" s="9">
        <f t="shared" si="2"/>
        <v>143875</v>
      </c>
      <c r="AC34" s="432">
        <f t="shared" si="3"/>
        <v>30</v>
      </c>
      <c r="AD34" s="29">
        <f t="shared" si="3"/>
        <v>16.618538839156802</v>
      </c>
      <c r="AE34" s="7"/>
    </row>
    <row r="35" spans="1:40" ht="49.5" customHeight="1" x14ac:dyDescent="0.25">
      <c r="A35" s="7">
        <v>14</v>
      </c>
      <c r="B35" s="384" t="s">
        <v>227</v>
      </c>
      <c r="C35" s="380" t="s">
        <v>177</v>
      </c>
      <c r="D35" s="6" t="s">
        <v>51</v>
      </c>
      <c r="E35" s="4" t="s">
        <v>103</v>
      </c>
      <c r="F35" s="15" t="s">
        <v>251</v>
      </c>
      <c r="G35" s="418">
        <v>60</v>
      </c>
      <c r="H35" s="142">
        <v>397500</v>
      </c>
      <c r="I35" s="418">
        <f>15+9+0+0</f>
        <v>24</v>
      </c>
      <c r="J35" s="142">
        <f>98280+51400+0+0</f>
        <v>149680</v>
      </c>
      <c r="K35" s="19">
        <v>12</v>
      </c>
      <c r="L35" s="9">
        <v>89319</v>
      </c>
      <c r="M35" s="19">
        <v>15</v>
      </c>
      <c r="N35" s="9">
        <v>89310</v>
      </c>
      <c r="O35" s="19">
        <v>0</v>
      </c>
      <c r="P35" s="9">
        <v>0</v>
      </c>
      <c r="Q35" s="418"/>
      <c r="R35" s="142"/>
      <c r="S35" s="19"/>
      <c r="T35" s="9"/>
      <c r="U35" s="19"/>
      <c r="V35" s="9"/>
      <c r="W35" s="19">
        <f t="shared" si="0"/>
        <v>0</v>
      </c>
      <c r="X35" s="68">
        <f t="shared" si="0"/>
        <v>0</v>
      </c>
      <c r="Y35" s="410">
        <f t="shared" si="1"/>
        <v>0</v>
      </c>
      <c r="Z35" s="29">
        <f t="shared" si="1"/>
        <v>0</v>
      </c>
      <c r="AA35" s="453">
        <f t="shared" si="7"/>
        <v>24</v>
      </c>
      <c r="AB35" s="9">
        <f t="shared" si="2"/>
        <v>149680</v>
      </c>
      <c r="AC35" s="432">
        <f t="shared" si="3"/>
        <v>40</v>
      </c>
      <c r="AD35" s="29">
        <f t="shared" si="3"/>
        <v>37.655345911949681</v>
      </c>
      <c r="AE35" s="7"/>
    </row>
    <row r="36" spans="1:40" s="376" customFormat="1" ht="52.5" customHeight="1" x14ac:dyDescent="0.25">
      <c r="A36" s="531"/>
      <c r="B36" s="528"/>
      <c r="C36" s="529"/>
      <c r="D36" s="513" t="s">
        <v>55</v>
      </c>
      <c r="E36" s="533"/>
      <c r="F36" s="531"/>
      <c r="G36" s="718"/>
      <c r="H36" s="719"/>
      <c r="I36" s="718"/>
      <c r="J36" s="720"/>
      <c r="K36" s="538"/>
      <c r="L36" s="539"/>
      <c r="M36" s="538"/>
      <c r="N36" s="539"/>
      <c r="O36" s="538"/>
      <c r="P36" s="524"/>
      <c r="Q36" s="718"/>
      <c r="R36" s="719"/>
      <c r="S36" s="538"/>
      <c r="T36" s="524"/>
      <c r="U36" s="538"/>
      <c r="V36" s="524"/>
      <c r="W36" s="538"/>
      <c r="X36" s="543"/>
      <c r="Y36" s="544"/>
      <c r="Z36" s="539"/>
      <c r="AA36" s="602">
        <f t="shared" si="7"/>
        <v>0</v>
      </c>
      <c r="AB36" s="520"/>
      <c r="AC36" s="546"/>
      <c r="AD36" s="539"/>
      <c r="AE36" s="531"/>
    </row>
    <row r="37" spans="1:40" ht="76.5" customHeight="1" x14ac:dyDescent="0.25">
      <c r="A37" s="7">
        <v>15</v>
      </c>
      <c r="B37" s="384" t="s">
        <v>207</v>
      </c>
      <c r="C37" s="380" t="s">
        <v>179</v>
      </c>
      <c r="D37" s="6" t="s">
        <v>56</v>
      </c>
      <c r="E37" s="4" t="s">
        <v>106</v>
      </c>
      <c r="F37" s="15" t="s">
        <v>251</v>
      </c>
      <c r="G37" s="418">
        <v>60</v>
      </c>
      <c r="H37" s="142">
        <v>797500</v>
      </c>
      <c r="I37" s="418">
        <v>48</v>
      </c>
      <c r="J37" s="431">
        <f>173586+140975+196861+166202.989</f>
        <v>677624.98900000006</v>
      </c>
      <c r="K37" s="19">
        <v>33</v>
      </c>
      <c r="L37" s="23">
        <v>199340.7</v>
      </c>
      <c r="M37" s="19">
        <v>20</v>
      </c>
      <c r="N37" s="29">
        <v>199340.22</v>
      </c>
      <c r="O37" s="19">
        <v>5</v>
      </c>
      <c r="P37" s="68">
        <v>42133.186999999998</v>
      </c>
      <c r="Q37" s="418"/>
      <c r="R37" s="142"/>
      <c r="S37" s="19"/>
      <c r="T37" s="9"/>
      <c r="U37" s="19"/>
      <c r="V37" s="9"/>
      <c r="W37" s="19">
        <f t="shared" ref="W37:X39" si="8">O37+Q37+S37+U37</f>
        <v>5</v>
      </c>
      <c r="X37" s="68">
        <f t="shared" si="8"/>
        <v>42133.186999999998</v>
      </c>
      <c r="Y37" s="410">
        <f t="shared" ref="Y37:Z39" si="9">W37/M37*100</f>
        <v>25</v>
      </c>
      <c r="Z37" s="29">
        <f t="shared" si="9"/>
        <v>21.136320106398998</v>
      </c>
      <c r="AA37" s="453">
        <f t="shared" si="7"/>
        <v>53</v>
      </c>
      <c r="AB37" s="9">
        <f>X37+J37</f>
        <v>719758.17600000009</v>
      </c>
      <c r="AC37" s="432">
        <f>AA37/G37*100</f>
        <v>88.333333333333329</v>
      </c>
      <c r="AD37" s="29">
        <f>AB37/H37*100</f>
        <v>90.251808902821324</v>
      </c>
      <c r="AE37" s="7"/>
      <c r="AN37" s="53">
        <f>145/6</f>
        <v>24.166666666666668</v>
      </c>
    </row>
    <row r="38" spans="1:40" ht="46.5" customHeight="1" x14ac:dyDescent="0.25">
      <c r="A38" s="7">
        <v>16</v>
      </c>
      <c r="B38" s="384" t="s">
        <v>208</v>
      </c>
      <c r="C38" s="380" t="s">
        <v>178</v>
      </c>
      <c r="D38" s="6" t="s">
        <v>57</v>
      </c>
      <c r="E38" s="4" t="s">
        <v>107</v>
      </c>
      <c r="F38" s="15" t="s">
        <v>251</v>
      </c>
      <c r="G38" s="418">
        <v>60</v>
      </c>
      <c r="H38" s="142">
        <v>825000</v>
      </c>
      <c r="I38" s="418">
        <v>48</v>
      </c>
      <c r="J38" s="142">
        <f>0+147510+57940+64578</f>
        <v>270028</v>
      </c>
      <c r="K38" s="19">
        <v>12</v>
      </c>
      <c r="L38" s="29">
        <v>199984.64000000001</v>
      </c>
      <c r="M38" s="19">
        <v>12</v>
      </c>
      <c r="N38" s="29">
        <v>199982.64</v>
      </c>
      <c r="O38" s="19">
        <v>0</v>
      </c>
      <c r="P38" s="9">
        <v>0</v>
      </c>
      <c r="Q38" s="418"/>
      <c r="R38" s="142"/>
      <c r="S38" s="19"/>
      <c r="T38" s="9"/>
      <c r="U38" s="19"/>
      <c r="V38" s="9"/>
      <c r="W38" s="19">
        <f t="shared" si="8"/>
        <v>0</v>
      </c>
      <c r="X38" s="68">
        <f t="shared" si="8"/>
        <v>0</v>
      </c>
      <c r="Y38" s="410">
        <f t="shared" si="9"/>
        <v>0</v>
      </c>
      <c r="Z38" s="29">
        <f t="shared" si="9"/>
        <v>0</v>
      </c>
      <c r="AA38" s="453">
        <f t="shared" si="7"/>
        <v>48</v>
      </c>
      <c r="AB38" s="9">
        <f>X38+J38</f>
        <v>270028</v>
      </c>
      <c r="AC38" s="432">
        <v>0</v>
      </c>
      <c r="AD38" s="29">
        <f>AB38/H38*100</f>
        <v>32.730666666666671</v>
      </c>
      <c r="AE38" s="7"/>
      <c r="AN38" s="53">
        <f>234/12</f>
        <v>19.5</v>
      </c>
    </row>
    <row r="39" spans="1:40" ht="59.25" customHeight="1" x14ac:dyDescent="0.25">
      <c r="A39" s="7">
        <v>17</v>
      </c>
      <c r="B39" s="384" t="s">
        <v>209</v>
      </c>
      <c r="C39" s="380" t="s">
        <v>192</v>
      </c>
      <c r="D39" s="6" t="s">
        <v>58</v>
      </c>
      <c r="E39" s="4" t="s">
        <v>108</v>
      </c>
      <c r="F39" s="15" t="s">
        <v>251</v>
      </c>
      <c r="G39" s="418">
        <v>60</v>
      </c>
      <c r="H39" s="142">
        <v>230000</v>
      </c>
      <c r="I39" s="418">
        <v>48</v>
      </c>
      <c r="J39" s="142">
        <f>0+29650+30450+15505</f>
        <v>75605</v>
      </c>
      <c r="K39" s="19">
        <v>118</v>
      </c>
      <c r="L39" s="68">
        <v>49957.188000000002</v>
      </c>
      <c r="M39" s="19">
        <v>57</v>
      </c>
      <c r="N39" s="9">
        <v>49844</v>
      </c>
      <c r="O39" s="9">
        <v>10</v>
      </c>
      <c r="P39" s="9">
        <v>7210</v>
      </c>
      <c r="Q39" s="418"/>
      <c r="R39" s="142"/>
      <c r="S39" s="19"/>
      <c r="T39" s="9"/>
      <c r="U39" s="19"/>
      <c r="V39" s="9"/>
      <c r="W39" s="19">
        <f t="shared" si="8"/>
        <v>10</v>
      </c>
      <c r="X39" s="68">
        <f t="shared" si="8"/>
        <v>7210</v>
      </c>
      <c r="Y39" s="410">
        <f t="shared" si="9"/>
        <v>17.543859649122805</v>
      </c>
      <c r="Z39" s="29">
        <f t="shared" si="9"/>
        <v>14.465131209373244</v>
      </c>
      <c r="AA39" s="453">
        <f t="shared" si="7"/>
        <v>58</v>
      </c>
      <c r="AB39" s="9">
        <f>X39+J39</f>
        <v>82815</v>
      </c>
      <c r="AC39" s="432">
        <f>AA39/G39*100</f>
        <v>96.666666666666671</v>
      </c>
      <c r="AD39" s="29">
        <f>AB39/H39*100</f>
        <v>36.006521739130434</v>
      </c>
      <c r="AE39" s="7"/>
    </row>
    <row r="40" spans="1:40" s="376" customFormat="1" ht="65.25" customHeight="1" x14ac:dyDescent="0.25">
      <c r="A40" s="553" t="s">
        <v>5</v>
      </c>
      <c r="B40" s="566" t="s">
        <v>210</v>
      </c>
      <c r="C40" s="567" t="s">
        <v>167</v>
      </c>
      <c r="D40" s="463" t="s">
        <v>31</v>
      </c>
      <c r="E40" s="554" t="s">
        <v>109</v>
      </c>
      <c r="F40" s="555" t="s">
        <v>93</v>
      </c>
      <c r="G40" s="556">
        <v>100</v>
      </c>
      <c r="H40" s="568">
        <f>H44+H46+H47+H49+H50+H51+H53+H55+H56+H57+H61</f>
        <v>6727500</v>
      </c>
      <c r="I40" s="569">
        <v>60</v>
      </c>
      <c r="J40" s="570">
        <v>4511662.2300000004</v>
      </c>
      <c r="K40" s="556">
        <v>100</v>
      </c>
      <c r="L40" s="559">
        <f>L44+L46+L47+L49+L50+L51+L53+L55+L56+L57+L58+L59+L60+L61</f>
        <v>1324631.75</v>
      </c>
      <c r="M40" s="556">
        <v>100</v>
      </c>
      <c r="N40" s="570">
        <f>N44+N46+N47+N49+N50+N51+N53+N55+N56+N57+N58+N59+N60+N61</f>
        <v>1424631.1500000001</v>
      </c>
      <c r="O40" s="556">
        <v>25</v>
      </c>
      <c r="P40" s="571">
        <f>P44+P46+P47+P49+P50+P51+P53+P55+P56+P57+P58+P59+P60+P61</f>
        <v>76207.899999999994</v>
      </c>
      <c r="Q40" s="736"/>
      <c r="R40" s="737"/>
      <c r="S40" s="560"/>
      <c r="T40" s="561"/>
      <c r="U40" s="560"/>
      <c r="V40" s="561"/>
      <c r="W40" s="556">
        <f t="shared" si="0"/>
        <v>25</v>
      </c>
      <c r="X40" s="562">
        <f t="shared" si="0"/>
        <v>76207.899999999994</v>
      </c>
      <c r="Y40" s="558">
        <f t="shared" si="1"/>
        <v>25</v>
      </c>
      <c r="Z40" s="559">
        <f t="shared" si="1"/>
        <v>5.3493074330152046</v>
      </c>
      <c r="AA40" s="572">
        <f t="shared" si="7"/>
        <v>85</v>
      </c>
      <c r="AB40" s="559">
        <f t="shared" si="2"/>
        <v>4587870.1300000008</v>
      </c>
      <c r="AC40" s="573">
        <f t="shared" si="3"/>
        <v>85</v>
      </c>
      <c r="AD40" s="558">
        <f t="shared" si="3"/>
        <v>68.195765589000374</v>
      </c>
      <c r="AE40" s="553"/>
    </row>
    <row r="41" spans="1:40" s="376" customFormat="1" ht="65.25" customHeight="1" x14ac:dyDescent="0.25">
      <c r="A41" s="553"/>
      <c r="B41" s="566"/>
      <c r="C41" s="567"/>
      <c r="D41" s="463"/>
      <c r="E41" s="554" t="s">
        <v>431</v>
      </c>
      <c r="F41" s="555"/>
      <c r="G41" s="556"/>
      <c r="H41" s="568"/>
      <c r="I41" s="569"/>
      <c r="J41" s="570"/>
      <c r="K41" s="556"/>
      <c r="L41" s="559"/>
      <c r="M41" s="556"/>
      <c r="N41" s="570"/>
      <c r="O41" s="556"/>
      <c r="P41" s="571"/>
      <c r="Q41" s="736"/>
      <c r="R41" s="737"/>
      <c r="S41" s="560"/>
      <c r="T41" s="561"/>
      <c r="U41" s="560"/>
      <c r="V41" s="561"/>
      <c r="W41" s="556"/>
      <c r="X41" s="562"/>
      <c r="Y41" s="558"/>
      <c r="Z41" s="559"/>
      <c r="AA41" s="572"/>
      <c r="AB41" s="559"/>
      <c r="AC41" s="573"/>
      <c r="AD41" s="558"/>
      <c r="AE41" s="553"/>
    </row>
    <row r="42" spans="1:40" s="376" customFormat="1" ht="65.25" customHeight="1" x14ac:dyDescent="0.25">
      <c r="A42" s="553"/>
      <c r="B42" s="566"/>
      <c r="C42" s="567"/>
      <c r="D42" s="463"/>
      <c r="E42" s="554" t="s">
        <v>430</v>
      </c>
      <c r="F42" s="555"/>
      <c r="G42" s="556"/>
      <c r="H42" s="568"/>
      <c r="I42" s="569"/>
      <c r="J42" s="570"/>
      <c r="K42" s="556"/>
      <c r="L42" s="559"/>
      <c r="M42" s="556"/>
      <c r="N42" s="570"/>
      <c r="O42" s="556"/>
      <c r="P42" s="571"/>
      <c r="Q42" s="736"/>
      <c r="R42" s="737"/>
      <c r="S42" s="560"/>
      <c r="T42" s="561"/>
      <c r="U42" s="560"/>
      <c r="V42" s="561"/>
      <c r="W42" s="556"/>
      <c r="X42" s="562"/>
      <c r="Y42" s="558"/>
      <c r="Z42" s="559"/>
      <c r="AA42" s="572"/>
      <c r="AB42" s="559"/>
      <c r="AC42" s="573"/>
      <c r="AD42" s="558"/>
      <c r="AE42" s="553"/>
    </row>
    <row r="43" spans="1:40" s="376" customFormat="1" ht="45.75" customHeight="1" x14ac:dyDescent="0.25">
      <c r="A43" s="531"/>
      <c r="B43" s="528"/>
      <c r="C43" s="529"/>
      <c r="D43" s="513" t="s">
        <v>59</v>
      </c>
      <c r="E43" s="512"/>
      <c r="F43" s="531"/>
      <c r="G43" s="535"/>
      <c r="H43" s="536"/>
      <c r="I43" s="535"/>
      <c r="J43" s="728"/>
      <c r="K43" s="538"/>
      <c r="L43" s="524"/>
      <c r="M43" s="524"/>
      <c r="N43" s="616"/>
      <c r="O43" s="538"/>
      <c r="P43" s="524"/>
      <c r="Q43" s="718"/>
      <c r="R43" s="719"/>
      <c r="S43" s="538"/>
      <c r="T43" s="524"/>
      <c r="U43" s="538"/>
      <c r="V43" s="524"/>
      <c r="W43" s="538"/>
      <c r="X43" s="543"/>
      <c r="Y43" s="544"/>
      <c r="Z43" s="539"/>
      <c r="AA43" s="523"/>
      <c r="AB43" s="524"/>
      <c r="AC43" s="545"/>
      <c r="AD43" s="524"/>
      <c r="AE43" s="531"/>
    </row>
    <row r="44" spans="1:40" ht="66.75" customHeight="1" x14ac:dyDescent="0.25">
      <c r="A44" s="7">
        <v>18</v>
      </c>
      <c r="B44" s="384" t="s">
        <v>211</v>
      </c>
      <c r="C44" s="380" t="s">
        <v>29</v>
      </c>
      <c r="D44" s="6" t="s">
        <v>60</v>
      </c>
      <c r="E44" s="4" t="s">
        <v>110</v>
      </c>
      <c r="F44" s="15" t="s">
        <v>250</v>
      </c>
      <c r="G44" s="418">
        <v>625</v>
      </c>
      <c r="H44" s="142">
        <v>135000</v>
      </c>
      <c r="I44" s="418">
        <v>110</v>
      </c>
      <c r="J44" s="142">
        <f>25000+40000+0</f>
        <v>65000</v>
      </c>
      <c r="K44" s="19">
        <v>140</v>
      </c>
      <c r="L44" s="9">
        <v>28000</v>
      </c>
      <c r="M44" s="19">
        <v>27</v>
      </c>
      <c r="N44" s="9">
        <v>28000</v>
      </c>
      <c r="O44" s="19">
        <v>0</v>
      </c>
      <c r="P44" s="9">
        <v>0</v>
      </c>
      <c r="Q44" s="418"/>
      <c r="R44" s="142"/>
      <c r="S44" s="19"/>
      <c r="T44" s="9"/>
      <c r="U44" s="19"/>
      <c r="V44" s="9"/>
      <c r="W44" s="19">
        <f t="shared" si="0"/>
        <v>0</v>
      </c>
      <c r="X44" s="68">
        <f t="shared" si="0"/>
        <v>0</v>
      </c>
      <c r="Y44" s="410">
        <f t="shared" si="1"/>
        <v>0</v>
      </c>
      <c r="Z44" s="29">
        <f t="shared" si="1"/>
        <v>0</v>
      </c>
      <c r="AA44" s="453">
        <f>I44+W44</f>
        <v>110</v>
      </c>
      <c r="AB44" s="9">
        <f t="shared" si="2"/>
        <v>65000</v>
      </c>
      <c r="AC44" s="28">
        <f t="shared" si="3"/>
        <v>17.599999999999998</v>
      </c>
      <c r="AD44" s="29">
        <f t="shared" si="3"/>
        <v>48.148148148148145</v>
      </c>
      <c r="AE44" s="7"/>
      <c r="AF44" s="53" t="s">
        <v>417</v>
      </c>
    </row>
    <row r="45" spans="1:40" s="376" customFormat="1" ht="49.5" customHeight="1" x14ac:dyDescent="0.25">
      <c r="A45" s="531"/>
      <c r="B45" s="528"/>
      <c r="C45" s="547"/>
      <c r="D45" s="513" t="s">
        <v>32</v>
      </c>
      <c r="E45" s="512"/>
      <c r="F45" s="531"/>
      <c r="G45" s="718"/>
      <c r="H45" s="719"/>
      <c r="I45" s="718"/>
      <c r="J45" s="719"/>
      <c r="K45" s="538"/>
      <c r="L45" s="539"/>
      <c r="M45" s="538"/>
      <c r="N45" s="539"/>
      <c r="O45" s="538"/>
      <c r="P45" s="524"/>
      <c r="Q45" s="718"/>
      <c r="R45" s="719"/>
      <c r="S45" s="538"/>
      <c r="T45" s="524"/>
      <c r="U45" s="538"/>
      <c r="V45" s="524"/>
      <c r="W45" s="538"/>
      <c r="X45" s="543"/>
      <c r="Y45" s="521"/>
      <c r="Z45" s="522"/>
      <c r="AA45" s="523"/>
      <c r="AB45" s="520"/>
      <c r="AC45" s="548"/>
      <c r="AD45" s="539"/>
      <c r="AE45" s="531"/>
    </row>
    <row r="46" spans="1:40" ht="60" customHeight="1" x14ac:dyDescent="0.25">
      <c r="A46" s="7">
        <v>19</v>
      </c>
      <c r="B46" s="384" t="s">
        <v>267</v>
      </c>
      <c r="C46" s="381" t="s">
        <v>168</v>
      </c>
      <c r="D46" s="6" t="s">
        <v>61</v>
      </c>
      <c r="E46" s="4" t="s">
        <v>111</v>
      </c>
      <c r="F46" s="7" t="s">
        <v>112</v>
      </c>
      <c r="G46" s="418">
        <v>3000</v>
      </c>
      <c r="H46" s="142">
        <v>250000</v>
      </c>
      <c r="I46" s="418" t="s">
        <v>427</v>
      </c>
      <c r="J46" s="142">
        <f>50000+18500+0</f>
        <v>68500</v>
      </c>
      <c r="K46" s="19">
        <v>250</v>
      </c>
      <c r="L46" s="9">
        <v>50000</v>
      </c>
      <c r="M46" s="19">
        <v>250</v>
      </c>
      <c r="N46" s="9">
        <v>50000</v>
      </c>
      <c r="O46" s="19">
        <v>0</v>
      </c>
      <c r="P46" s="9">
        <v>0</v>
      </c>
      <c r="Q46" s="418"/>
      <c r="R46" s="142"/>
      <c r="S46" s="19"/>
      <c r="T46" s="9"/>
      <c r="U46" s="19"/>
      <c r="V46" s="9"/>
      <c r="W46" s="19">
        <f t="shared" si="0"/>
        <v>0</v>
      </c>
      <c r="X46" s="68">
        <f t="shared" si="0"/>
        <v>0</v>
      </c>
      <c r="Y46" s="410">
        <f t="shared" si="1"/>
        <v>0</v>
      </c>
      <c r="Z46" s="29">
        <f t="shared" si="1"/>
        <v>0</v>
      </c>
      <c r="AA46" s="453" t="e">
        <f>I46+W46</f>
        <v>#VALUE!</v>
      </c>
      <c r="AB46" s="9">
        <f t="shared" si="2"/>
        <v>68500</v>
      </c>
      <c r="AC46" s="432" t="e">
        <f t="shared" si="3"/>
        <v>#VALUE!</v>
      </c>
      <c r="AD46" s="29">
        <f t="shared" si="3"/>
        <v>27.400000000000002</v>
      </c>
      <c r="AE46" s="7"/>
      <c r="AF46" s="53" t="s">
        <v>417</v>
      </c>
    </row>
    <row r="47" spans="1:40" ht="64.5" customHeight="1" x14ac:dyDescent="0.25">
      <c r="A47" s="46">
        <v>20</v>
      </c>
      <c r="B47" s="384" t="s">
        <v>212</v>
      </c>
      <c r="C47" s="380" t="s">
        <v>166</v>
      </c>
      <c r="D47" s="6" t="s">
        <v>62</v>
      </c>
      <c r="E47" s="4" t="s">
        <v>113</v>
      </c>
      <c r="F47" s="15" t="s">
        <v>249</v>
      </c>
      <c r="G47" s="418">
        <v>60</v>
      </c>
      <c r="H47" s="142">
        <v>1867500</v>
      </c>
      <c r="I47" s="418">
        <f>12+11+12+12</f>
        <v>47</v>
      </c>
      <c r="J47" s="142">
        <f>375843+359400+390000+375920</f>
        <v>1501163</v>
      </c>
      <c r="K47" s="19">
        <v>12</v>
      </c>
      <c r="L47" s="23">
        <v>374999.8</v>
      </c>
      <c r="M47" s="19">
        <v>24</v>
      </c>
      <c r="N47" s="23">
        <v>374999.8</v>
      </c>
      <c r="O47" s="377">
        <v>24</v>
      </c>
      <c r="P47" s="23">
        <v>64815.5</v>
      </c>
      <c r="Q47" s="418"/>
      <c r="R47" s="681"/>
      <c r="S47" s="19"/>
      <c r="T47" s="9"/>
      <c r="U47" s="19"/>
      <c r="V47" s="9"/>
      <c r="W47" s="19">
        <f t="shared" si="0"/>
        <v>24</v>
      </c>
      <c r="X47" s="68">
        <f t="shared" si="0"/>
        <v>64815.5</v>
      </c>
      <c r="Y47" s="410">
        <f t="shared" si="1"/>
        <v>100</v>
      </c>
      <c r="Z47" s="29">
        <f t="shared" si="1"/>
        <v>17.284142551542693</v>
      </c>
      <c r="AA47" s="453">
        <f>I47+W47</f>
        <v>71</v>
      </c>
      <c r="AB47" s="9">
        <f t="shared" si="2"/>
        <v>1565978.5</v>
      </c>
      <c r="AC47" s="432">
        <f t="shared" si="3"/>
        <v>118.33333333333333</v>
      </c>
      <c r="AD47" s="29">
        <f t="shared" si="3"/>
        <v>83.854270414993309</v>
      </c>
      <c r="AE47" s="7"/>
    </row>
    <row r="48" spans="1:40" ht="73.5" customHeight="1" x14ac:dyDescent="0.25">
      <c r="A48" s="46"/>
      <c r="B48" s="694" t="s">
        <v>213</v>
      </c>
      <c r="C48" s="470" t="s">
        <v>157</v>
      </c>
      <c r="D48" s="705"/>
      <c r="E48" s="18"/>
      <c r="F48" s="7"/>
      <c r="G48" s="604"/>
      <c r="H48" s="607"/>
      <c r="I48" s="604"/>
      <c r="J48" s="607"/>
      <c r="K48" s="19"/>
      <c r="L48" s="29"/>
      <c r="M48" s="19"/>
      <c r="N48" s="706"/>
      <c r="O48" s="459"/>
      <c r="P48" s="69"/>
      <c r="Q48" s="604"/>
      <c r="R48" s="607"/>
      <c r="S48" s="459"/>
      <c r="T48" s="69"/>
      <c r="U48" s="459"/>
      <c r="V48" s="69"/>
      <c r="W48" s="459"/>
      <c r="X48" s="594"/>
      <c r="Y48" s="596"/>
      <c r="Z48" s="57"/>
      <c r="AA48" s="599"/>
      <c r="AB48" s="69"/>
      <c r="AC48" s="620"/>
      <c r="AD48" s="57"/>
      <c r="AE48" s="46"/>
    </row>
    <row r="49" spans="1:32" ht="63" customHeight="1" x14ac:dyDescent="0.25">
      <c r="A49" s="482">
        <v>21</v>
      </c>
      <c r="B49" s="688" t="s">
        <v>214</v>
      </c>
      <c r="C49" s="381" t="s">
        <v>247</v>
      </c>
      <c r="D49" s="13" t="s">
        <v>63</v>
      </c>
      <c r="E49" s="18" t="s">
        <v>114</v>
      </c>
      <c r="F49" s="333" t="s">
        <v>112</v>
      </c>
      <c r="G49" s="604">
        <v>1561</v>
      </c>
      <c r="H49" s="607">
        <v>935000</v>
      </c>
      <c r="I49" s="604">
        <f>12+3+247+1250</f>
        <v>1512</v>
      </c>
      <c r="J49" s="682">
        <f>614674+95806+119696+467421.58</f>
        <v>1297597.58</v>
      </c>
      <c r="K49" s="28">
        <v>300</v>
      </c>
      <c r="L49" s="9">
        <v>230000</v>
      </c>
      <c r="M49" s="56">
        <v>300</v>
      </c>
      <c r="N49" s="66">
        <f>8400.3+195315.7+450+17400+8800+966</f>
        <v>231332</v>
      </c>
      <c r="O49" s="459">
        <v>0</v>
      </c>
      <c r="P49" s="492">
        <v>2875.2</v>
      </c>
      <c r="Q49" s="604"/>
      <c r="R49" s="743"/>
      <c r="S49" s="459"/>
      <c r="T49" s="69"/>
      <c r="U49" s="459"/>
      <c r="V49" s="69"/>
      <c r="W49" s="459">
        <f t="shared" si="0"/>
        <v>0</v>
      </c>
      <c r="X49" s="594">
        <f t="shared" si="0"/>
        <v>2875.2</v>
      </c>
      <c r="Y49" s="596">
        <f t="shared" si="1"/>
        <v>0</v>
      </c>
      <c r="Z49" s="57">
        <f t="shared" si="1"/>
        <v>1.2428890080058097</v>
      </c>
      <c r="AA49" s="599">
        <f>I49+W49</f>
        <v>1512</v>
      </c>
      <c r="AB49" s="583">
        <f t="shared" si="2"/>
        <v>1300472.78</v>
      </c>
      <c r="AC49" s="596">
        <f t="shared" si="3"/>
        <v>96.860986547085204</v>
      </c>
      <c r="AD49" s="57">
        <f t="shared" si="3"/>
        <v>139.08799786096259</v>
      </c>
      <c r="AE49" s="656"/>
    </row>
    <row r="50" spans="1:32" ht="36.75" customHeight="1" x14ac:dyDescent="0.25">
      <c r="A50" s="482"/>
      <c r="B50" s="688" t="s">
        <v>215</v>
      </c>
      <c r="C50" s="381" t="s">
        <v>258</v>
      </c>
      <c r="D50" s="44"/>
      <c r="E50" s="18" t="s">
        <v>115</v>
      </c>
      <c r="F50" s="333" t="s">
        <v>112</v>
      </c>
      <c r="G50" s="626">
        <v>332</v>
      </c>
      <c r="H50" s="631">
        <v>895000</v>
      </c>
      <c r="I50" s="626">
        <f>0+10+200+0</f>
        <v>210</v>
      </c>
      <c r="J50" s="631">
        <f>69896+70584+0</f>
        <v>140480</v>
      </c>
      <c r="K50" s="28">
        <v>1011</v>
      </c>
      <c r="L50" s="9">
        <v>150000</v>
      </c>
      <c r="M50" s="56">
        <v>520</v>
      </c>
      <c r="N50" s="65">
        <f>499.7+74881.8+36400+3800+16700+15600</f>
        <v>147881.5</v>
      </c>
      <c r="O50" s="622">
        <v>0</v>
      </c>
      <c r="P50" s="624"/>
      <c r="Q50" s="626"/>
      <c r="R50" s="631"/>
      <c r="S50" s="622"/>
      <c r="T50" s="624"/>
      <c r="U50" s="622"/>
      <c r="V50" s="624"/>
      <c r="W50" s="626">
        <f t="shared" si="0"/>
        <v>0</v>
      </c>
      <c r="X50" s="627">
        <f t="shared" si="0"/>
        <v>0</v>
      </c>
      <c r="Y50" s="628">
        <f t="shared" si="1"/>
        <v>0</v>
      </c>
      <c r="Z50" s="629">
        <f t="shared" si="1"/>
        <v>0</v>
      </c>
      <c r="AA50" s="652">
        <f>I50+W50</f>
        <v>210</v>
      </c>
      <c r="AB50" s="657">
        <f t="shared" si="2"/>
        <v>140480</v>
      </c>
      <c r="AC50" s="626">
        <f t="shared" si="3"/>
        <v>63.253012048192772</v>
      </c>
      <c r="AD50" s="629">
        <f t="shared" si="3"/>
        <v>15.69608938547486</v>
      </c>
      <c r="AE50" s="658"/>
      <c r="AF50" s="53" t="s">
        <v>417</v>
      </c>
    </row>
    <row r="51" spans="1:32" ht="74.25" customHeight="1" x14ac:dyDescent="0.25">
      <c r="A51" s="482"/>
      <c r="B51" s="688" t="s">
        <v>216</v>
      </c>
      <c r="C51" s="381" t="s">
        <v>162</v>
      </c>
      <c r="D51" s="44"/>
      <c r="E51" s="619" t="s">
        <v>116</v>
      </c>
      <c r="F51" s="609" t="s">
        <v>112</v>
      </c>
      <c r="G51" s="626">
        <v>130</v>
      </c>
      <c r="H51" s="631">
        <v>295000</v>
      </c>
      <c r="I51" s="626">
        <f>20+35+30+20</f>
        <v>105</v>
      </c>
      <c r="J51" s="683">
        <f>24510+42530+16750+7478.5</f>
        <v>91268.5</v>
      </c>
      <c r="K51" s="620">
        <v>20</v>
      </c>
      <c r="L51" s="69">
        <v>16320</v>
      </c>
      <c r="M51" s="504">
        <v>50</v>
      </c>
      <c r="N51" s="580">
        <f>493.8+1402.5+110+4700+1480+8000+920</f>
        <v>17106.3</v>
      </c>
      <c r="O51" s="622">
        <v>0</v>
      </c>
      <c r="P51" s="624"/>
      <c r="Q51" s="626"/>
      <c r="R51" s="631"/>
      <c r="S51" s="622"/>
      <c r="T51" s="624"/>
      <c r="U51" s="622"/>
      <c r="V51" s="624"/>
      <c r="W51" s="626">
        <f t="shared" si="0"/>
        <v>0</v>
      </c>
      <c r="X51" s="627">
        <f t="shared" si="0"/>
        <v>0</v>
      </c>
      <c r="Y51" s="628">
        <f t="shared" si="1"/>
        <v>0</v>
      </c>
      <c r="Z51" s="629">
        <f t="shared" si="1"/>
        <v>0</v>
      </c>
      <c r="AA51" s="652">
        <f>I51+W51</f>
        <v>105</v>
      </c>
      <c r="AB51" s="657">
        <f t="shared" si="2"/>
        <v>91268.5</v>
      </c>
      <c r="AC51" s="593">
        <f t="shared" si="3"/>
        <v>80.769230769230774</v>
      </c>
      <c r="AD51" s="598">
        <f t="shared" si="3"/>
        <v>30.938474576271187</v>
      </c>
      <c r="AE51" s="658"/>
    </row>
    <row r="52" spans="1:32" ht="33.75" customHeight="1" x14ac:dyDescent="0.25">
      <c r="A52" s="46"/>
      <c r="B52" s="694" t="s">
        <v>217</v>
      </c>
      <c r="C52" s="470" t="s">
        <v>161</v>
      </c>
      <c r="D52" s="691"/>
      <c r="E52" s="619"/>
      <c r="F52" s="609"/>
      <c r="G52" s="604"/>
      <c r="H52" s="607"/>
      <c r="I52" s="604"/>
      <c r="J52" s="607"/>
      <c r="K52" s="620"/>
      <c r="L52" s="57"/>
      <c r="M52" s="459"/>
      <c r="N52" s="692"/>
      <c r="O52" s="459"/>
      <c r="P52" s="69"/>
      <c r="Q52" s="604"/>
      <c r="R52" s="607"/>
      <c r="S52" s="459"/>
      <c r="T52" s="69"/>
      <c r="U52" s="459"/>
      <c r="V52" s="69"/>
      <c r="W52" s="459"/>
      <c r="X52" s="594"/>
      <c r="Y52" s="596"/>
      <c r="Z52" s="57"/>
      <c r="AA52" s="599"/>
      <c r="AB52" s="583"/>
      <c r="AC52" s="622"/>
      <c r="AD52" s="31"/>
      <c r="AE52" s="46"/>
    </row>
    <row r="53" spans="1:32" ht="63" customHeight="1" x14ac:dyDescent="0.25">
      <c r="A53" s="482">
        <v>22</v>
      </c>
      <c r="B53" s="688" t="s">
        <v>218</v>
      </c>
      <c r="C53" s="381" t="s">
        <v>26</v>
      </c>
      <c r="D53" s="44" t="s">
        <v>33</v>
      </c>
      <c r="E53" s="471" t="s">
        <v>118</v>
      </c>
      <c r="F53" s="611" t="s">
        <v>119</v>
      </c>
      <c r="G53" s="626">
        <v>44</v>
      </c>
      <c r="H53" s="631">
        <v>550000</v>
      </c>
      <c r="I53" s="626">
        <f>0+8+5+13</f>
        <v>26</v>
      </c>
      <c r="J53" s="683">
        <f>48917+49500+74964.7</f>
        <v>173381.7</v>
      </c>
      <c r="K53" s="625">
        <v>10</v>
      </c>
      <c r="L53" s="506">
        <v>109992.5</v>
      </c>
      <c r="M53" s="55">
        <v>10</v>
      </c>
      <c r="N53" s="653">
        <f>109992.5</f>
        <v>109992.5</v>
      </c>
      <c r="O53" s="622">
        <v>0</v>
      </c>
      <c r="P53" s="623">
        <v>7777.4</v>
      </c>
      <c r="Q53" s="626"/>
      <c r="R53" s="683"/>
      <c r="S53" s="622"/>
      <c r="T53" s="624"/>
      <c r="U53" s="622"/>
      <c r="V53" s="624"/>
      <c r="W53" s="622">
        <f t="shared" si="0"/>
        <v>0</v>
      </c>
      <c r="X53" s="659">
        <f t="shared" si="0"/>
        <v>7777.4</v>
      </c>
      <c r="Y53" s="660">
        <f t="shared" si="1"/>
        <v>0</v>
      </c>
      <c r="Z53" s="58">
        <f t="shared" si="1"/>
        <v>7.0708457394822375</v>
      </c>
      <c r="AA53" s="630">
        <f>I53+W53</f>
        <v>26</v>
      </c>
      <c r="AB53" s="662">
        <f t="shared" si="2"/>
        <v>181159.1</v>
      </c>
      <c r="AC53" s="660">
        <f t="shared" si="3"/>
        <v>59.090909090909093</v>
      </c>
      <c r="AD53" s="31">
        <f t="shared" si="3"/>
        <v>32.938018181818187</v>
      </c>
      <c r="AE53" s="482"/>
      <c r="AF53" s="53" t="s">
        <v>417</v>
      </c>
    </row>
    <row r="54" spans="1:32" ht="47.25" customHeight="1" x14ac:dyDescent="0.25">
      <c r="A54" s="482"/>
      <c r="B54" s="694" t="s">
        <v>210</v>
      </c>
      <c r="C54" s="470" t="s">
        <v>167</v>
      </c>
      <c r="D54" s="693"/>
      <c r="E54" s="690"/>
      <c r="F54" s="610"/>
      <c r="G54" s="626"/>
      <c r="H54" s="631"/>
      <c r="I54" s="626"/>
      <c r="J54" s="631"/>
      <c r="K54" s="672"/>
      <c r="L54" s="58"/>
      <c r="M54" s="622"/>
      <c r="N54" s="661"/>
      <c r="O54" s="622"/>
      <c r="P54" s="624"/>
      <c r="Q54" s="626"/>
      <c r="R54" s="631"/>
      <c r="S54" s="622"/>
      <c r="T54" s="624"/>
      <c r="U54" s="622"/>
      <c r="V54" s="624"/>
      <c r="W54" s="622"/>
      <c r="X54" s="659"/>
      <c r="Y54" s="660"/>
      <c r="Z54" s="58"/>
      <c r="AA54" s="630"/>
      <c r="AB54" s="662"/>
      <c r="AC54" s="622"/>
      <c r="AE54" s="482"/>
    </row>
    <row r="55" spans="1:32" ht="62.25" customHeight="1" x14ac:dyDescent="0.25">
      <c r="A55" s="482"/>
      <c r="B55" s="688" t="s">
        <v>228</v>
      </c>
      <c r="C55" s="381" t="s">
        <v>27</v>
      </c>
      <c r="D55" s="44"/>
      <c r="E55" s="471" t="s">
        <v>117</v>
      </c>
      <c r="F55" s="611" t="s">
        <v>112</v>
      </c>
      <c r="G55" s="626">
        <v>1000</v>
      </c>
      <c r="H55" s="631">
        <v>605000</v>
      </c>
      <c r="I55" s="626">
        <f>1+1+1+207</f>
        <v>210</v>
      </c>
      <c r="J55" s="631">
        <f>88214+118350+128000+44100</f>
        <v>378664</v>
      </c>
      <c r="K55" s="625">
        <v>300</v>
      </c>
      <c r="L55" s="493">
        <v>149319.75</v>
      </c>
      <c r="M55" s="55">
        <v>300</v>
      </c>
      <c r="N55" s="654">
        <f>512.45+5266.6+210+5420+54725+57750+8400+10000+25000+6550+4200+600+5775+2250+2750+2250+12000</f>
        <v>203659.05</v>
      </c>
      <c r="O55" s="622">
        <v>0</v>
      </c>
      <c r="P55" s="624"/>
      <c r="Q55" s="626"/>
      <c r="R55" s="631"/>
      <c r="S55" s="622"/>
      <c r="T55" s="624"/>
      <c r="U55" s="622"/>
      <c r="V55" s="624"/>
      <c r="W55" s="622">
        <f t="shared" si="0"/>
        <v>0</v>
      </c>
      <c r="X55" s="627">
        <f t="shared" si="0"/>
        <v>0</v>
      </c>
      <c r="Y55" s="628">
        <f t="shared" si="1"/>
        <v>0</v>
      </c>
      <c r="Z55" s="629">
        <f t="shared" si="1"/>
        <v>0</v>
      </c>
      <c r="AA55" s="652">
        <f t="shared" ref="AA55:AA62" si="10">I55+W55</f>
        <v>210</v>
      </c>
      <c r="AB55" s="657">
        <f t="shared" si="2"/>
        <v>378664</v>
      </c>
      <c r="AC55" s="626">
        <f t="shared" si="3"/>
        <v>21</v>
      </c>
      <c r="AD55" s="651">
        <f t="shared" si="3"/>
        <v>62.589090909090906</v>
      </c>
      <c r="AE55" s="482"/>
    </row>
    <row r="56" spans="1:32" ht="98.25" customHeight="1" x14ac:dyDescent="0.25">
      <c r="A56" s="482"/>
      <c r="B56" s="480" t="s">
        <v>229</v>
      </c>
      <c r="C56" s="475" t="s">
        <v>170</v>
      </c>
      <c r="D56" s="44"/>
      <c r="E56" s="471" t="s">
        <v>120</v>
      </c>
      <c r="F56" s="611" t="s">
        <v>112</v>
      </c>
      <c r="G56" s="626">
        <v>410</v>
      </c>
      <c r="H56" s="631">
        <f>100000+420000</f>
        <v>520000</v>
      </c>
      <c r="I56" s="626">
        <f>10+80+60+50</f>
        <v>200</v>
      </c>
      <c r="J56" s="629">
        <f>97108+121991+101949+65264.45</f>
        <v>386312.45</v>
      </c>
      <c r="K56" s="625">
        <v>100</v>
      </c>
      <c r="L56" s="624">
        <v>110000</v>
      </c>
      <c r="M56" s="505">
        <v>50</v>
      </c>
      <c r="N56" s="581">
        <f>357.4+1239.6+100+8400+2750+6325+500+3000+1000+1600</f>
        <v>25272</v>
      </c>
      <c r="O56" s="622">
        <v>0</v>
      </c>
      <c r="P56" s="624"/>
      <c r="Q56" s="626"/>
      <c r="R56" s="631"/>
      <c r="S56" s="622"/>
      <c r="T56" s="624"/>
      <c r="U56" s="622"/>
      <c r="V56" s="624"/>
      <c r="W56" s="622">
        <f t="shared" si="0"/>
        <v>0</v>
      </c>
      <c r="X56" s="627">
        <f t="shared" si="0"/>
        <v>0</v>
      </c>
      <c r="Y56" s="628">
        <f t="shared" si="1"/>
        <v>0</v>
      </c>
      <c r="Z56" s="629">
        <f t="shared" si="1"/>
        <v>0</v>
      </c>
      <c r="AA56" s="652">
        <f t="shared" si="10"/>
        <v>200</v>
      </c>
      <c r="AB56" s="657">
        <f t="shared" si="2"/>
        <v>386312.45</v>
      </c>
      <c r="AC56" s="626">
        <f t="shared" si="3"/>
        <v>48.780487804878049</v>
      </c>
      <c r="AD56" s="651">
        <f t="shared" si="3"/>
        <v>74.290855769230774</v>
      </c>
      <c r="AE56" s="482"/>
    </row>
    <row r="57" spans="1:32" ht="46.5" customHeight="1" x14ac:dyDescent="0.25">
      <c r="A57" s="482"/>
      <c r="B57" s="695" t="s">
        <v>230</v>
      </c>
      <c r="C57" s="475" t="s">
        <v>28</v>
      </c>
      <c r="D57" s="44"/>
      <c r="E57" s="18" t="s">
        <v>121</v>
      </c>
      <c r="F57" s="494" t="s">
        <v>196</v>
      </c>
      <c r="G57" s="626">
        <v>120</v>
      </c>
      <c r="H57" s="631">
        <v>340000</v>
      </c>
      <c r="I57" s="626">
        <f>20+48+24+0</f>
        <v>92</v>
      </c>
      <c r="J57" s="631">
        <f>39255+69540+70000+0</f>
        <v>178795</v>
      </c>
      <c r="K57" s="582">
        <v>24</v>
      </c>
      <c r="L57" s="492">
        <v>55999.7</v>
      </c>
      <c r="M57" s="582">
        <v>24</v>
      </c>
      <c r="N57" s="65">
        <f>377.3+1159.1+160+9000+5300+7300+10600+6000+1108.8</f>
        <v>41005.200000000004</v>
      </c>
      <c r="O57" s="622">
        <v>0</v>
      </c>
      <c r="P57" s="624"/>
      <c r="Q57" s="626"/>
      <c r="R57" s="631"/>
      <c r="S57" s="622"/>
      <c r="T57" s="624"/>
      <c r="U57" s="622"/>
      <c r="V57" s="624"/>
      <c r="W57" s="622">
        <f t="shared" si="0"/>
        <v>0</v>
      </c>
      <c r="X57" s="627">
        <f t="shared" si="0"/>
        <v>0</v>
      </c>
      <c r="Y57" s="628">
        <f t="shared" si="1"/>
        <v>0</v>
      </c>
      <c r="Z57" s="629">
        <f t="shared" si="1"/>
        <v>0</v>
      </c>
      <c r="AA57" s="652">
        <f t="shared" si="10"/>
        <v>92</v>
      </c>
      <c r="AB57" s="657">
        <f t="shared" si="2"/>
        <v>178795</v>
      </c>
      <c r="AC57" s="626">
        <f t="shared" si="3"/>
        <v>76.666666666666671</v>
      </c>
      <c r="AD57" s="651">
        <f t="shared" si="3"/>
        <v>52.586764705882352</v>
      </c>
      <c r="AE57" s="482"/>
    </row>
    <row r="58" spans="1:32" ht="35.25" customHeight="1" x14ac:dyDescent="0.25">
      <c r="A58" s="482"/>
      <c r="B58" s="696"/>
      <c r="C58" s="646"/>
      <c r="D58" s="44"/>
      <c r="E58" s="18" t="s">
        <v>122</v>
      </c>
      <c r="F58" s="494" t="s">
        <v>196</v>
      </c>
      <c r="G58" s="626"/>
      <c r="H58" s="631"/>
      <c r="I58" s="626"/>
      <c r="J58" s="631"/>
      <c r="K58" s="582">
        <v>24</v>
      </c>
      <c r="L58" s="58"/>
      <c r="M58" s="582">
        <v>24</v>
      </c>
      <c r="N58" s="66">
        <v>100000</v>
      </c>
      <c r="O58" s="622">
        <v>0</v>
      </c>
      <c r="P58" s="624"/>
      <c r="Q58" s="626"/>
      <c r="R58" s="631"/>
      <c r="S58" s="622"/>
      <c r="T58" s="624"/>
      <c r="U58" s="622"/>
      <c r="V58" s="624"/>
      <c r="W58" s="622">
        <f t="shared" si="0"/>
        <v>0</v>
      </c>
      <c r="X58" s="627">
        <f t="shared" si="0"/>
        <v>0</v>
      </c>
      <c r="Y58" s="628">
        <f t="shared" si="1"/>
        <v>0</v>
      </c>
      <c r="Z58" s="629">
        <f t="shared" si="1"/>
        <v>0</v>
      </c>
      <c r="AA58" s="652">
        <f t="shared" si="10"/>
        <v>0</v>
      </c>
      <c r="AB58" s="657">
        <f t="shared" si="2"/>
        <v>0</v>
      </c>
      <c r="AC58" s="626" t="e">
        <f t="shared" si="3"/>
        <v>#DIV/0!</v>
      </c>
      <c r="AD58" s="651" t="e">
        <f t="shared" si="3"/>
        <v>#DIV/0!</v>
      </c>
      <c r="AE58" s="482"/>
    </row>
    <row r="59" spans="1:32" ht="87" customHeight="1" x14ac:dyDescent="0.25">
      <c r="A59" s="610"/>
      <c r="B59" s="764"/>
      <c r="C59" s="765"/>
      <c r="D59" s="707"/>
      <c r="E59" s="18" t="s">
        <v>123</v>
      </c>
      <c r="F59" s="494" t="s">
        <v>248</v>
      </c>
      <c r="G59" s="626"/>
      <c r="H59" s="631"/>
      <c r="I59" s="626"/>
      <c r="J59" s="631"/>
      <c r="K59" s="582">
        <v>1</v>
      </c>
      <c r="L59" s="506"/>
      <c r="M59" s="582">
        <v>25</v>
      </c>
      <c r="N59" s="66">
        <f>348+70+11610+1375+1780</f>
        <v>15183</v>
      </c>
      <c r="O59" s="622">
        <v>0</v>
      </c>
      <c r="P59" s="624"/>
      <c r="Q59" s="626"/>
      <c r="R59" s="631"/>
      <c r="S59" s="622"/>
      <c r="T59" s="624"/>
      <c r="U59" s="622"/>
      <c r="V59" s="624"/>
      <c r="W59" s="622">
        <f t="shared" si="0"/>
        <v>0</v>
      </c>
      <c r="X59" s="627">
        <f t="shared" si="0"/>
        <v>0</v>
      </c>
      <c r="Y59" s="628">
        <f t="shared" si="1"/>
        <v>0</v>
      </c>
      <c r="Z59" s="629">
        <f t="shared" si="1"/>
        <v>0</v>
      </c>
      <c r="AA59" s="652">
        <f t="shared" si="10"/>
        <v>0</v>
      </c>
      <c r="AB59" s="657">
        <f t="shared" si="2"/>
        <v>0</v>
      </c>
      <c r="AC59" s="626" t="e">
        <f t="shared" si="3"/>
        <v>#DIV/0!</v>
      </c>
      <c r="AD59" s="651" t="e">
        <f t="shared" si="3"/>
        <v>#DIV/0!</v>
      </c>
      <c r="AE59" s="482"/>
    </row>
    <row r="60" spans="1:32" ht="39.75" customHeight="1" x14ac:dyDescent="0.25">
      <c r="A60" s="47"/>
      <c r="B60" s="481"/>
      <c r="C60" s="615"/>
      <c r="D60" s="14"/>
      <c r="E60" s="18" t="s">
        <v>124</v>
      </c>
      <c r="F60" s="333" t="s">
        <v>125</v>
      </c>
      <c r="G60" s="593"/>
      <c r="H60" s="600"/>
      <c r="I60" s="593"/>
      <c r="J60" s="600"/>
      <c r="K60" s="28"/>
      <c r="L60" s="493"/>
      <c r="M60" s="56">
        <v>1</v>
      </c>
      <c r="N60" s="66">
        <f>400+1800+28000</f>
        <v>30200</v>
      </c>
      <c r="O60" s="55">
        <v>0</v>
      </c>
      <c r="P60" s="67"/>
      <c r="Q60" s="593"/>
      <c r="R60" s="600"/>
      <c r="S60" s="55"/>
      <c r="T60" s="67"/>
      <c r="U60" s="55"/>
      <c r="V60" s="67"/>
      <c r="W60" s="55">
        <f t="shared" si="0"/>
        <v>0</v>
      </c>
      <c r="X60" s="595">
        <f t="shared" si="0"/>
        <v>0</v>
      </c>
      <c r="Y60" s="597">
        <f t="shared" si="1"/>
        <v>0</v>
      </c>
      <c r="Z60" s="598">
        <f t="shared" si="1"/>
        <v>0</v>
      </c>
      <c r="AA60" s="601">
        <f t="shared" si="10"/>
        <v>0</v>
      </c>
      <c r="AB60" s="655">
        <f t="shared" si="2"/>
        <v>0</v>
      </c>
      <c r="AC60" s="593" t="e">
        <f t="shared" si="3"/>
        <v>#DIV/0!</v>
      </c>
      <c r="AD60" s="647" t="e">
        <f t="shared" si="3"/>
        <v>#DIV/0!</v>
      </c>
      <c r="AE60" s="47"/>
    </row>
    <row r="61" spans="1:32" ht="66.75" customHeight="1" x14ac:dyDescent="0.25">
      <c r="A61" s="47">
        <v>23</v>
      </c>
      <c r="B61" s="479" t="s">
        <v>231</v>
      </c>
      <c r="C61" s="476" t="s">
        <v>169</v>
      </c>
      <c r="D61" s="14" t="s">
        <v>64</v>
      </c>
      <c r="E61" s="4" t="s">
        <v>126</v>
      </c>
      <c r="F61" s="7" t="s">
        <v>127</v>
      </c>
      <c r="G61" s="593">
        <v>300</v>
      </c>
      <c r="H61" s="600">
        <v>335000</v>
      </c>
      <c r="I61" s="593">
        <f>6+4+3+6</f>
        <v>19</v>
      </c>
      <c r="J61" s="600">
        <f>73117+74340+74833+8210</f>
        <v>230500</v>
      </c>
      <c r="K61" s="19">
        <v>60</v>
      </c>
      <c r="L61" s="9">
        <v>50000</v>
      </c>
      <c r="M61" s="19">
        <v>60</v>
      </c>
      <c r="N61" s="23">
        <v>49999.8</v>
      </c>
      <c r="O61" s="55">
        <v>0</v>
      </c>
      <c r="P61" s="506">
        <v>739.8</v>
      </c>
      <c r="Q61" s="593"/>
      <c r="R61" s="744"/>
      <c r="S61" s="55"/>
      <c r="T61" s="67"/>
      <c r="U61" s="55"/>
      <c r="V61" s="67"/>
      <c r="W61" s="55">
        <f t="shared" si="0"/>
        <v>0</v>
      </c>
      <c r="X61" s="589">
        <f t="shared" si="0"/>
        <v>739.8</v>
      </c>
      <c r="Y61" s="590">
        <f t="shared" si="1"/>
        <v>0</v>
      </c>
      <c r="Z61" s="493">
        <f t="shared" si="1"/>
        <v>1.4796059184236736</v>
      </c>
      <c r="AA61" s="591">
        <f t="shared" si="10"/>
        <v>19</v>
      </c>
      <c r="AB61" s="67">
        <f t="shared" si="2"/>
        <v>231239.8</v>
      </c>
      <c r="AC61" s="592">
        <f t="shared" si="3"/>
        <v>6.3333333333333339</v>
      </c>
      <c r="AD61" s="493">
        <f t="shared" si="3"/>
        <v>69.026805970149255</v>
      </c>
      <c r="AE61" s="47"/>
    </row>
    <row r="62" spans="1:32" s="376" customFormat="1" ht="57" customHeight="1" x14ac:dyDescent="0.25">
      <c r="A62" s="553" t="s">
        <v>6</v>
      </c>
      <c r="B62" s="566" t="s">
        <v>232</v>
      </c>
      <c r="C62" s="567" t="s">
        <v>158</v>
      </c>
      <c r="D62" s="463" t="s">
        <v>65</v>
      </c>
      <c r="E62" s="554" t="s">
        <v>128</v>
      </c>
      <c r="F62" s="555" t="s">
        <v>93</v>
      </c>
      <c r="G62" s="569">
        <v>45.38</v>
      </c>
      <c r="H62" s="568">
        <f>SUM(H65:H91)</f>
        <v>8523000</v>
      </c>
      <c r="I62" s="569">
        <v>67.489999999999995</v>
      </c>
      <c r="J62" s="574">
        <f>SUM(J65:J91)</f>
        <v>4948932.5890000006</v>
      </c>
      <c r="K62" s="556">
        <v>44.43</v>
      </c>
      <c r="L62" s="559">
        <f>SUM(L66:L91)</f>
        <v>1570655.9</v>
      </c>
      <c r="M62" s="556">
        <v>44.43</v>
      </c>
      <c r="N62" s="649">
        <f>N66+N68+N69+N70+N71+N73+N74+N75+N76+N78+N79+N81+N82+N84+N86+N87+N88+N89+N90+N91</f>
        <v>1561046.9</v>
      </c>
      <c r="O62" s="556">
        <v>45.25</v>
      </c>
      <c r="P62" s="571">
        <v>20233.5</v>
      </c>
      <c r="Q62" s="736"/>
      <c r="R62" s="737"/>
      <c r="S62" s="560"/>
      <c r="T62" s="561"/>
      <c r="U62" s="560"/>
      <c r="V62" s="561"/>
      <c r="W62" s="556">
        <f t="shared" si="0"/>
        <v>45.25</v>
      </c>
      <c r="X62" s="562">
        <f t="shared" si="0"/>
        <v>20233.5</v>
      </c>
      <c r="Y62" s="558">
        <f t="shared" si="1"/>
        <v>101.84559981994148</v>
      </c>
      <c r="Z62" s="559">
        <f t="shared" si="1"/>
        <v>1.2961493982019374</v>
      </c>
      <c r="AA62" s="572">
        <f t="shared" si="10"/>
        <v>112.74</v>
      </c>
      <c r="AB62" s="559">
        <f t="shared" si="2"/>
        <v>4969166.0890000006</v>
      </c>
      <c r="AC62" s="573">
        <f t="shared" si="3"/>
        <v>248.43543411194355</v>
      </c>
      <c r="AD62" s="559">
        <f t="shared" si="3"/>
        <v>58.303016414408084</v>
      </c>
      <c r="AE62" s="553"/>
    </row>
    <row r="63" spans="1:32" s="376" customFormat="1" ht="86.25" customHeight="1" x14ac:dyDescent="0.25">
      <c r="A63" s="767"/>
      <c r="B63" s="566"/>
      <c r="C63" s="567"/>
      <c r="D63" s="768"/>
      <c r="E63" s="554" t="s">
        <v>429</v>
      </c>
      <c r="F63" s="555"/>
      <c r="G63" s="769"/>
      <c r="H63" s="770"/>
      <c r="I63" s="769"/>
      <c r="J63" s="771"/>
      <c r="K63" s="556"/>
      <c r="L63" s="559"/>
      <c r="M63" s="556"/>
      <c r="N63" s="649"/>
      <c r="O63" s="772"/>
      <c r="P63" s="649"/>
      <c r="Q63" s="773"/>
      <c r="R63" s="774"/>
      <c r="S63" s="775"/>
      <c r="T63" s="776"/>
      <c r="U63" s="775"/>
      <c r="V63" s="776"/>
      <c r="W63" s="772"/>
      <c r="X63" s="777"/>
      <c r="Y63" s="778"/>
      <c r="Z63" s="779"/>
      <c r="AA63" s="780"/>
      <c r="AB63" s="779"/>
      <c r="AC63" s="781"/>
      <c r="AD63" s="779"/>
      <c r="AE63" s="767"/>
    </row>
    <row r="64" spans="1:32" s="376" customFormat="1" ht="53.25" customHeight="1" x14ac:dyDescent="0.25">
      <c r="A64" s="767"/>
      <c r="B64" s="566"/>
      <c r="C64" s="567"/>
      <c r="D64" s="768"/>
      <c r="E64" s="554" t="s">
        <v>378</v>
      </c>
      <c r="F64" s="555"/>
      <c r="G64" s="769"/>
      <c r="H64" s="770"/>
      <c r="I64" s="769"/>
      <c r="J64" s="771"/>
      <c r="K64" s="556"/>
      <c r="L64" s="559"/>
      <c r="M64" s="556"/>
      <c r="N64" s="649"/>
      <c r="O64" s="772"/>
      <c r="P64" s="649"/>
      <c r="Q64" s="773"/>
      <c r="R64" s="774"/>
      <c r="S64" s="775"/>
      <c r="T64" s="776"/>
      <c r="U64" s="775"/>
      <c r="V64" s="776"/>
      <c r="W64" s="772"/>
      <c r="X64" s="777"/>
      <c r="Y64" s="778"/>
      <c r="Z64" s="779"/>
      <c r="AA64" s="780"/>
      <c r="AB64" s="779"/>
      <c r="AC64" s="781"/>
      <c r="AD64" s="779"/>
      <c r="AE64" s="767"/>
    </row>
    <row r="65" spans="1:32" s="376" customFormat="1" ht="87" customHeight="1" x14ac:dyDescent="0.25">
      <c r="A65" s="534"/>
      <c r="B65" s="528"/>
      <c r="C65" s="529"/>
      <c r="D65" s="532" t="s">
        <v>66</v>
      </c>
      <c r="E65" s="512"/>
      <c r="F65" s="531"/>
      <c r="G65" s="685"/>
      <c r="H65" s="686"/>
      <c r="I65" s="685"/>
      <c r="J65" s="686"/>
      <c r="K65" s="538"/>
      <c r="L65" s="539"/>
      <c r="M65" s="538"/>
      <c r="N65" s="617"/>
      <c r="O65" s="540"/>
      <c r="P65" s="542"/>
      <c r="Q65" s="741"/>
      <c r="R65" s="742"/>
      <c r="S65" s="540"/>
      <c r="T65" s="542"/>
      <c r="U65" s="540"/>
      <c r="V65" s="542"/>
      <c r="W65" s="540"/>
      <c r="X65" s="665"/>
      <c r="Y65" s="666"/>
      <c r="Z65" s="667"/>
      <c r="AA65" s="586"/>
      <c r="AB65" s="587"/>
      <c r="AC65" s="668"/>
      <c r="AD65" s="541"/>
      <c r="AE65" s="534"/>
    </row>
    <row r="66" spans="1:32" ht="59.25" customHeight="1" x14ac:dyDescent="0.25">
      <c r="A66" s="46">
        <v>24</v>
      </c>
      <c r="B66" s="688" t="s">
        <v>233</v>
      </c>
      <c r="C66" s="381" t="s">
        <v>163</v>
      </c>
      <c r="D66" s="13" t="s">
        <v>67</v>
      </c>
      <c r="E66" s="619" t="s">
        <v>129</v>
      </c>
      <c r="F66" s="609" t="s">
        <v>112</v>
      </c>
      <c r="G66" s="604">
        <v>255</v>
      </c>
      <c r="H66" s="607">
        <v>1500000</v>
      </c>
      <c r="I66" s="604">
        <f>50+106+116+124</f>
        <v>396</v>
      </c>
      <c r="J66" s="684">
        <f>276975+407424+296676+163810.189</f>
        <v>1144885.189</v>
      </c>
      <c r="K66" s="620">
        <v>35</v>
      </c>
      <c r="L66" s="492">
        <v>276794.90000000002</v>
      </c>
      <c r="M66" s="504">
        <v>10</v>
      </c>
      <c r="N66" s="583">
        <f>7194</f>
        <v>7194</v>
      </c>
      <c r="O66" s="459">
        <v>0</v>
      </c>
      <c r="P66" s="69">
        <v>0</v>
      </c>
      <c r="Q66" s="604"/>
      <c r="R66" s="607"/>
      <c r="S66" s="459"/>
      <c r="T66" s="69"/>
      <c r="U66" s="504"/>
      <c r="V66" s="69"/>
      <c r="W66" s="620">
        <f t="shared" si="0"/>
        <v>0</v>
      </c>
      <c r="X66" s="594">
        <f t="shared" si="0"/>
        <v>0</v>
      </c>
      <c r="Y66" s="596">
        <f t="shared" si="1"/>
        <v>0</v>
      </c>
      <c r="Z66" s="57">
        <f t="shared" si="1"/>
        <v>0</v>
      </c>
      <c r="AA66" s="599">
        <f>I66+W66</f>
        <v>396</v>
      </c>
      <c r="AB66" s="69">
        <f t="shared" si="2"/>
        <v>1144885.189</v>
      </c>
      <c r="AC66" s="596">
        <f t="shared" si="3"/>
        <v>155.29411764705884</v>
      </c>
      <c r="AD66" s="596">
        <f t="shared" si="3"/>
        <v>76.325679266666668</v>
      </c>
      <c r="AE66" s="46"/>
    </row>
    <row r="67" spans="1:32" ht="44.25" customHeight="1" x14ac:dyDescent="0.25">
      <c r="A67" s="482"/>
      <c r="B67" s="704" t="s">
        <v>234</v>
      </c>
      <c r="C67" s="507" t="s">
        <v>160</v>
      </c>
      <c r="D67" s="697"/>
      <c r="E67" s="472"/>
      <c r="F67" s="609"/>
      <c r="G67" s="626"/>
      <c r="H67" s="631"/>
      <c r="I67" s="626"/>
      <c r="J67" s="631"/>
      <c r="K67" s="620"/>
      <c r="L67" s="57"/>
      <c r="M67" s="459"/>
      <c r="N67" s="580"/>
      <c r="O67" s="622"/>
      <c r="P67" s="624"/>
      <c r="Q67" s="626"/>
      <c r="R67" s="631"/>
      <c r="S67" s="622"/>
      <c r="T67" s="624"/>
      <c r="U67" s="669"/>
      <c r="V67" s="624"/>
      <c r="W67" s="670"/>
      <c r="X67" s="627"/>
      <c r="Y67" s="628"/>
      <c r="Z67" s="629"/>
      <c r="AA67" s="630"/>
      <c r="AB67" s="631"/>
      <c r="AC67" s="628" t="e">
        <f t="shared" si="3"/>
        <v>#DIV/0!</v>
      </c>
      <c r="AD67" s="628" t="e">
        <f t="shared" si="3"/>
        <v>#DIV/0!</v>
      </c>
      <c r="AE67" s="482"/>
    </row>
    <row r="68" spans="1:32" ht="71.25" customHeight="1" x14ac:dyDescent="0.25">
      <c r="A68" s="482"/>
      <c r="B68" s="480" t="s">
        <v>235</v>
      </c>
      <c r="C68" s="614" t="s">
        <v>24</v>
      </c>
      <c r="D68" s="618"/>
      <c r="E68" s="473" t="s">
        <v>132</v>
      </c>
      <c r="F68" s="611" t="s">
        <v>112</v>
      </c>
      <c r="G68" s="626">
        <v>110</v>
      </c>
      <c r="H68" s="631">
        <v>355000</v>
      </c>
      <c r="I68" s="626">
        <f>15+20+20+0</f>
        <v>55</v>
      </c>
      <c r="J68" s="631">
        <f>59929+142804+49685+0</f>
        <v>252418</v>
      </c>
      <c r="K68" s="625">
        <v>30</v>
      </c>
      <c r="L68" s="506">
        <v>74319.600000000006</v>
      </c>
      <c r="M68" s="55">
        <v>35</v>
      </c>
      <c r="N68" s="653">
        <f>400+56945+2370+496.2+973.1+190</f>
        <v>61374.299999999996</v>
      </c>
      <c r="O68" s="622">
        <v>0</v>
      </c>
      <c r="P68" s="624"/>
      <c r="Q68" s="626"/>
      <c r="R68" s="631"/>
      <c r="S68" s="622"/>
      <c r="T68" s="624"/>
      <c r="U68" s="669"/>
      <c r="V68" s="624"/>
      <c r="W68" s="670">
        <f t="shared" si="0"/>
        <v>0</v>
      </c>
      <c r="X68" s="627">
        <f t="shared" si="0"/>
        <v>0</v>
      </c>
      <c r="Y68" s="628">
        <f t="shared" si="1"/>
        <v>0</v>
      </c>
      <c r="Z68" s="629">
        <f t="shared" si="1"/>
        <v>0</v>
      </c>
      <c r="AA68" s="652">
        <f>I68+W68</f>
        <v>55</v>
      </c>
      <c r="AB68" s="631">
        <f t="shared" si="2"/>
        <v>252418</v>
      </c>
      <c r="AC68" s="628">
        <f t="shared" si="3"/>
        <v>50</v>
      </c>
      <c r="AD68" s="628">
        <f t="shared" si="3"/>
        <v>71.103661971830988</v>
      </c>
      <c r="AE68" s="482"/>
    </row>
    <row r="69" spans="1:32" ht="46.5" customHeight="1" x14ac:dyDescent="0.25">
      <c r="A69" s="47"/>
      <c r="B69" s="481"/>
      <c r="C69" s="615"/>
      <c r="D69" s="14"/>
      <c r="E69" s="471" t="s">
        <v>130</v>
      </c>
      <c r="F69" s="621" t="s">
        <v>248</v>
      </c>
      <c r="G69" s="593"/>
      <c r="H69" s="600"/>
      <c r="I69" s="593"/>
      <c r="J69" s="600"/>
      <c r="K69" s="625">
        <v>1</v>
      </c>
      <c r="L69" s="67">
        <v>19999</v>
      </c>
      <c r="M69" s="505">
        <v>10</v>
      </c>
      <c r="N69" s="581">
        <v>19999</v>
      </c>
      <c r="O69" s="55">
        <v>0</v>
      </c>
      <c r="P69" s="67"/>
      <c r="Q69" s="593"/>
      <c r="R69" s="600"/>
      <c r="S69" s="55"/>
      <c r="T69" s="67"/>
      <c r="U69" s="505"/>
      <c r="V69" s="67"/>
      <c r="W69" s="750">
        <f t="shared" si="0"/>
        <v>0</v>
      </c>
      <c r="X69" s="595">
        <f t="shared" si="0"/>
        <v>0</v>
      </c>
      <c r="Y69" s="597">
        <f t="shared" si="1"/>
        <v>0</v>
      </c>
      <c r="Z69" s="598">
        <f t="shared" si="1"/>
        <v>0</v>
      </c>
      <c r="AA69" s="601">
        <f>I69+W69</f>
        <v>0</v>
      </c>
      <c r="AB69" s="600">
        <f t="shared" si="2"/>
        <v>0</v>
      </c>
      <c r="AC69" s="597" t="e">
        <f t="shared" si="3"/>
        <v>#DIV/0!</v>
      </c>
      <c r="AD69" s="597" t="e">
        <f t="shared" si="3"/>
        <v>#DIV/0!</v>
      </c>
      <c r="AE69" s="47"/>
    </row>
    <row r="70" spans="1:32" ht="74.25" customHeight="1" x14ac:dyDescent="0.25">
      <c r="A70" s="47">
        <v>25</v>
      </c>
      <c r="B70" s="479"/>
      <c r="C70" s="476"/>
      <c r="D70" s="14" t="s">
        <v>68</v>
      </c>
      <c r="E70" s="4" t="s">
        <v>131</v>
      </c>
      <c r="F70" s="7" t="s">
        <v>101</v>
      </c>
      <c r="G70" s="593"/>
      <c r="H70" s="600"/>
      <c r="I70" s="593"/>
      <c r="J70" s="598"/>
      <c r="K70" s="19"/>
      <c r="L70" s="29"/>
      <c r="M70" s="19">
        <v>41</v>
      </c>
      <c r="N70" s="506">
        <v>91189.6</v>
      </c>
      <c r="O70" s="55">
        <v>0</v>
      </c>
      <c r="P70" s="67">
        <v>0</v>
      </c>
      <c r="Q70" s="593"/>
      <c r="R70" s="600"/>
      <c r="S70" s="55"/>
      <c r="T70" s="67"/>
      <c r="U70" s="55"/>
      <c r="V70" s="67"/>
      <c r="W70" s="55">
        <f t="shared" si="0"/>
        <v>0</v>
      </c>
      <c r="X70" s="589">
        <f t="shared" si="0"/>
        <v>0</v>
      </c>
      <c r="Y70" s="590">
        <f t="shared" si="1"/>
        <v>0</v>
      </c>
      <c r="Z70" s="493">
        <f t="shared" si="1"/>
        <v>0</v>
      </c>
      <c r="AA70" s="605">
        <f>I70+W70</f>
        <v>0</v>
      </c>
      <c r="AB70" s="606">
        <f t="shared" si="2"/>
        <v>0</v>
      </c>
      <c r="AC70" s="592" t="e">
        <f t="shared" si="3"/>
        <v>#DIV/0!</v>
      </c>
      <c r="AD70" s="590" t="e">
        <f t="shared" si="3"/>
        <v>#DIV/0!</v>
      </c>
      <c r="AE70" s="47"/>
      <c r="AF70" s="53" t="s">
        <v>418</v>
      </c>
    </row>
    <row r="71" spans="1:32" ht="48.75" customHeight="1" x14ac:dyDescent="0.25">
      <c r="A71" s="7">
        <v>26</v>
      </c>
      <c r="B71" s="48"/>
      <c r="C71" s="379"/>
      <c r="D71" s="13" t="s">
        <v>69</v>
      </c>
      <c r="E71" s="472" t="s">
        <v>197</v>
      </c>
      <c r="F71" s="46" t="s">
        <v>112</v>
      </c>
      <c r="G71" s="604"/>
      <c r="H71" s="607"/>
      <c r="I71" s="604">
        <f>200+0+0+0</f>
        <v>200</v>
      </c>
      <c r="J71" s="607">
        <f>42002</f>
        <v>42002</v>
      </c>
      <c r="K71" s="459"/>
      <c r="L71" s="57"/>
      <c r="M71" s="459">
        <v>51</v>
      </c>
      <c r="N71" s="69">
        <v>76700</v>
      </c>
      <c r="O71" s="459">
        <v>15</v>
      </c>
      <c r="P71" s="69">
        <v>0</v>
      </c>
      <c r="Q71" s="604"/>
      <c r="R71" s="607"/>
      <c r="S71" s="459"/>
      <c r="T71" s="69"/>
      <c r="U71" s="459"/>
      <c r="V71" s="69"/>
      <c r="W71" s="459">
        <f t="shared" si="0"/>
        <v>15</v>
      </c>
      <c r="X71" s="594">
        <f t="shared" si="0"/>
        <v>0</v>
      </c>
      <c r="Y71" s="596">
        <f t="shared" si="1"/>
        <v>29.411764705882355</v>
      </c>
      <c r="Z71" s="57">
        <f t="shared" si="1"/>
        <v>0</v>
      </c>
      <c r="AA71" s="599">
        <f>I71+W71</f>
        <v>215</v>
      </c>
      <c r="AB71" s="69">
        <f t="shared" si="2"/>
        <v>42002</v>
      </c>
      <c r="AC71" s="641" t="e">
        <f t="shared" si="3"/>
        <v>#DIV/0!</v>
      </c>
      <c r="AD71" s="596" t="e">
        <f t="shared" si="3"/>
        <v>#DIV/0!</v>
      </c>
      <c r="AE71" s="46"/>
      <c r="AF71" s="53" t="s">
        <v>419</v>
      </c>
    </row>
    <row r="72" spans="1:32" ht="42.75" customHeight="1" x14ac:dyDescent="0.25">
      <c r="A72" s="46"/>
      <c r="B72" s="508" t="s">
        <v>234</v>
      </c>
      <c r="C72" s="507" t="s">
        <v>160</v>
      </c>
      <c r="D72" s="691"/>
      <c r="E72" s="619"/>
      <c r="F72" s="609"/>
      <c r="G72" s="604"/>
      <c r="H72" s="607"/>
      <c r="I72" s="604"/>
      <c r="J72" s="607"/>
      <c r="K72" s="620"/>
      <c r="L72" s="57"/>
      <c r="M72" s="459"/>
      <c r="N72" s="664"/>
      <c r="O72" s="459"/>
      <c r="P72" s="69"/>
      <c r="Q72" s="604"/>
      <c r="R72" s="607"/>
      <c r="S72" s="459"/>
      <c r="T72" s="69"/>
      <c r="U72" s="459"/>
      <c r="V72" s="69"/>
      <c r="W72" s="459"/>
      <c r="X72" s="594"/>
      <c r="Y72" s="596"/>
      <c r="Z72" s="664"/>
      <c r="AA72" s="599"/>
      <c r="AB72" s="69"/>
      <c r="AC72" s="663"/>
      <c r="AD72" s="596"/>
      <c r="AE72" s="656"/>
    </row>
    <row r="73" spans="1:32" ht="79.5" customHeight="1" x14ac:dyDescent="0.25">
      <c r="A73" s="609">
        <v>27</v>
      </c>
      <c r="B73" s="763" t="s">
        <v>236</v>
      </c>
      <c r="C73" s="762" t="s">
        <v>25</v>
      </c>
      <c r="D73" s="707" t="s">
        <v>70</v>
      </c>
      <c r="E73" s="471" t="s">
        <v>134</v>
      </c>
      <c r="F73" s="611" t="s">
        <v>135</v>
      </c>
      <c r="G73" s="626">
        <v>6</v>
      </c>
      <c r="H73" s="631">
        <v>535000</v>
      </c>
      <c r="I73" s="626">
        <v>4</v>
      </c>
      <c r="J73" s="629">
        <f>91128+52904+70000+79766.95</f>
        <v>293798.95</v>
      </c>
      <c r="K73" s="625">
        <v>1</v>
      </c>
      <c r="L73" s="506">
        <v>109319.6</v>
      </c>
      <c r="M73" s="55">
        <v>1</v>
      </c>
      <c r="N73" s="653">
        <f>129.3+1248+100+2000+1940+1750+6000</f>
        <v>13167.3</v>
      </c>
      <c r="O73" s="622">
        <v>0</v>
      </c>
      <c r="P73" s="624">
        <v>0</v>
      </c>
      <c r="Q73" s="626"/>
      <c r="R73" s="631"/>
      <c r="S73" s="622"/>
      <c r="T73" s="624"/>
      <c r="U73" s="622"/>
      <c r="V73" s="624"/>
      <c r="W73" s="622">
        <f t="shared" si="0"/>
        <v>0</v>
      </c>
      <c r="X73" s="659">
        <f t="shared" si="0"/>
        <v>0</v>
      </c>
      <c r="Y73" s="660">
        <f t="shared" si="1"/>
        <v>0</v>
      </c>
      <c r="Z73" s="661">
        <f t="shared" si="1"/>
        <v>0</v>
      </c>
      <c r="AA73" s="630">
        <f>I73+W73</f>
        <v>4</v>
      </c>
      <c r="AB73" s="624">
        <f t="shared" si="2"/>
        <v>293798.95</v>
      </c>
      <c r="AC73" s="729">
        <f t="shared" si="3"/>
        <v>66.666666666666657</v>
      </c>
      <c r="AD73" s="660">
        <f t="shared" si="3"/>
        <v>54.915691588785052</v>
      </c>
      <c r="AE73" s="726"/>
    </row>
    <row r="74" spans="1:32" ht="37.5" customHeight="1" x14ac:dyDescent="0.25">
      <c r="A74" s="47"/>
      <c r="B74" s="490"/>
      <c r="C74" s="646"/>
      <c r="D74" s="14"/>
      <c r="E74" s="471" t="s">
        <v>133</v>
      </c>
      <c r="F74" s="611" t="s">
        <v>112</v>
      </c>
      <c r="G74" s="593">
        <v>125</v>
      </c>
      <c r="H74" s="600">
        <v>355000</v>
      </c>
      <c r="I74" s="593"/>
      <c r="J74" s="600"/>
      <c r="K74" s="625"/>
      <c r="L74" s="493"/>
      <c r="M74" s="505">
        <v>35</v>
      </c>
      <c r="N74" s="654">
        <f>368.65+664.9+100+2200+4000+2044</f>
        <v>9377.5499999999993</v>
      </c>
      <c r="O74" s="622">
        <v>0</v>
      </c>
      <c r="P74" s="624"/>
      <c r="Q74" s="626"/>
      <c r="R74" s="631"/>
      <c r="S74" s="622"/>
      <c r="T74" s="624"/>
      <c r="U74" s="622"/>
      <c r="V74" s="624"/>
      <c r="W74" s="626">
        <f>O74+Q74+S74+U74</f>
        <v>0</v>
      </c>
      <c r="X74" s="627">
        <f>P74+R74+T74+V74</f>
        <v>0</v>
      </c>
      <c r="Y74" s="628">
        <f>W74/M74*100</f>
        <v>0</v>
      </c>
      <c r="Z74" s="751">
        <f>X74/N74*100</f>
        <v>0</v>
      </c>
      <c r="AA74" s="652">
        <f>I74+W74</f>
        <v>0</v>
      </c>
      <c r="AB74" s="631">
        <f>X74+J74</f>
        <v>0</v>
      </c>
      <c r="AC74" s="752">
        <f>AA74/G74*100</f>
        <v>0</v>
      </c>
      <c r="AD74" s="628">
        <f>AB74/H74*100</f>
        <v>0</v>
      </c>
      <c r="AE74" s="727"/>
    </row>
    <row r="75" spans="1:32" ht="50.25" customHeight="1" x14ac:dyDescent="0.25">
      <c r="A75" s="482">
        <v>28</v>
      </c>
      <c r="B75" s="489"/>
      <c r="C75" s="687"/>
      <c r="D75" s="707" t="s">
        <v>71</v>
      </c>
      <c r="E75" s="18" t="s">
        <v>136</v>
      </c>
      <c r="F75" s="333" t="s">
        <v>112</v>
      </c>
      <c r="G75" s="496"/>
      <c r="H75" s="498"/>
      <c r="I75" s="496"/>
      <c r="J75" s="498"/>
      <c r="K75" s="28"/>
      <c r="L75" s="29"/>
      <c r="M75" s="56">
        <v>26</v>
      </c>
      <c r="N75" s="654">
        <f>3075+482.75+637.8+490+2600+4400</f>
        <v>11685.55</v>
      </c>
      <c r="O75" s="459">
        <v>0</v>
      </c>
      <c r="P75" s="69">
        <v>0</v>
      </c>
      <c r="Q75" s="604"/>
      <c r="R75" s="607"/>
      <c r="S75" s="459"/>
      <c r="T75" s="69"/>
      <c r="U75" s="459"/>
      <c r="V75" s="69"/>
      <c r="W75" s="459">
        <f t="shared" si="0"/>
        <v>0</v>
      </c>
      <c r="X75" s="594">
        <f t="shared" si="0"/>
        <v>0</v>
      </c>
      <c r="Y75" s="596">
        <f t="shared" si="1"/>
        <v>0</v>
      </c>
      <c r="Z75" s="57">
        <f t="shared" si="1"/>
        <v>0</v>
      </c>
      <c r="AA75" s="599">
        <f>I75+W75</f>
        <v>0</v>
      </c>
      <c r="AB75" s="69">
        <f t="shared" si="2"/>
        <v>0</v>
      </c>
      <c r="AC75" s="596" t="e">
        <f t="shared" si="3"/>
        <v>#DIV/0!</v>
      </c>
      <c r="AD75" s="596" t="e">
        <f t="shared" si="3"/>
        <v>#DIV/0!</v>
      </c>
      <c r="AE75" s="46"/>
    </row>
    <row r="76" spans="1:32" ht="50.25" customHeight="1" x14ac:dyDescent="0.25">
      <c r="A76" s="482"/>
      <c r="B76" s="491"/>
      <c r="C76" s="478"/>
      <c r="D76" s="474"/>
      <c r="E76" s="619" t="s">
        <v>137</v>
      </c>
      <c r="F76" s="609" t="s">
        <v>112</v>
      </c>
      <c r="G76" s="496"/>
      <c r="H76" s="498"/>
      <c r="I76" s="496"/>
      <c r="J76" s="498"/>
      <c r="K76" s="620"/>
      <c r="L76" s="57"/>
      <c r="M76" s="504">
        <v>51</v>
      </c>
      <c r="N76" s="580">
        <f>499.3+663+185558.4</f>
        <v>186720.69999999998</v>
      </c>
      <c r="O76" s="622">
        <v>16</v>
      </c>
      <c r="P76" s="624"/>
      <c r="Q76" s="626"/>
      <c r="R76" s="631"/>
      <c r="S76" s="622"/>
      <c r="T76" s="624"/>
      <c r="U76" s="622"/>
      <c r="V76" s="624"/>
      <c r="W76" s="626">
        <f t="shared" ref="W76:X103" si="11">O76+Q76+S76+U76</f>
        <v>16</v>
      </c>
      <c r="X76" s="627">
        <f t="shared" si="11"/>
        <v>0</v>
      </c>
      <c r="Y76" s="628">
        <f t="shared" ref="Y76:Z103" si="12">W76/M76*100</f>
        <v>31.372549019607842</v>
      </c>
      <c r="Z76" s="629">
        <f t="shared" si="12"/>
        <v>0</v>
      </c>
      <c r="AA76" s="652">
        <f t="shared" ref="AA76:AA103" si="13">I76+W76</f>
        <v>16</v>
      </c>
      <c r="AB76" s="631">
        <f t="shared" si="2"/>
        <v>0</v>
      </c>
      <c r="AC76" s="628" t="e">
        <f t="shared" si="3"/>
        <v>#DIV/0!</v>
      </c>
      <c r="AD76" s="628" t="e">
        <f t="shared" si="3"/>
        <v>#DIV/0!</v>
      </c>
      <c r="AE76" s="482"/>
    </row>
    <row r="77" spans="1:32" s="376" customFormat="1" ht="83.25" customHeight="1" x14ac:dyDescent="0.25">
      <c r="A77" s="52"/>
      <c r="B77" s="700" t="s">
        <v>232</v>
      </c>
      <c r="C77" s="612" t="s">
        <v>158</v>
      </c>
      <c r="D77" s="708" t="s">
        <v>72</v>
      </c>
      <c r="E77" s="715"/>
      <c r="F77" s="52"/>
      <c r="G77" s="712"/>
      <c r="H77" s="713"/>
      <c r="I77" s="712"/>
      <c r="J77" s="713"/>
      <c r="K77" s="54"/>
      <c r="L77" s="50"/>
      <c r="M77" s="54"/>
      <c r="N77" s="50"/>
      <c r="O77" s="54"/>
      <c r="P77" s="714"/>
      <c r="Q77" s="745"/>
      <c r="R77" s="746"/>
      <c r="S77" s="54"/>
      <c r="T77" s="714"/>
      <c r="U77" s="54"/>
      <c r="V77" s="714"/>
      <c r="W77" s="54"/>
      <c r="X77" s="594"/>
      <c r="Y77" s="596"/>
      <c r="Z77" s="57"/>
      <c r="AA77" s="599"/>
      <c r="AB77" s="69"/>
      <c r="AC77" s="596"/>
      <c r="AD77" s="716"/>
      <c r="AE77" s="52"/>
    </row>
    <row r="78" spans="1:32" ht="45" customHeight="1" x14ac:dyDescent="0.25">
      <c r="A78" s="47">
        <v>29</v>
      </c>
      <c r="B78" s="489" t="s">
        <v>237</v>
      </c>
      <c r="C78" s="485" t="s">
        <v>23</v>
      </c>
      <c r="D78" s="709" t="s">
        <v>67</v>
      </c>
      <c r="E78" s="473" t="s">
        <v>138</v>
      </c>
      <c r="F78" s="47" t="s">
        <v>112</v>
      </c>
      <c r="G78" s="626">
        <v>215</v>
      </c>
      <c r="H78" s="631">
        <v>1375500</v>
      </c>
      <c r="I78" s="626">
        <f>12+50+29+13</f>
        <v>104</v>
      </c>
      <c r="J78" s="683">
        <f>256450+256848+243547+146639.6</f>
        <v>903484.6</v>
      </c>
      <c r="K78" s="55">
        <v>35</v>
      </c>
      <c r="L78" s="506">
        <v>263122.90000000002</v>
      </c>
      <c r="M78" s="55">
        <v>35</v>
      </c>
      <c r="N78" s="506">
        <v>26072.9</v>
      </c>
      <c r="O78" s="55">
        <v>2</v>
      </c>
      <c r="P78" s="67">
        <v>1488</v>
      </c>
      <c r="Q78" s="593"/>
      <c r="R78" s="600"/>
      <c r="S78" s="55"/>
      <c r="T78" s="67"/>
      <c r="U78" s="55"/>
      <c r="V78" s="67"/>
      <c r="W78" s="55">
        <f t="shared" si="11"/>
        <v>2</v>
      </c>
      <c r="X78" s="589">
        <f t="shared" si="11"/>
        <v>1488</v>
      </c>
      <c r="Y78" s="590">
        <f t="shared" si="12"/>
        <v>5.7142857142857144</v>
      </c>
      <c r="Z78" s="493">
        <f t="shared" si="12"/>
        <v>5.7070751623333038</v>
      </c>
      <c r="AA78" s="591">
        <f t="shared" si="13"/>
        <v>106</v>
      </c>
      <c r="AB78" s="67">
        <f t="shared" si="2"/>
        <v>904972.6</v>
      </c>
      <c r="AC78" s="590">
        <f t="shared" ref="AC78:AD103" si="14">AA78/G78*100</f>
        <v>49.302325581395351</v>
      </c>
      <c r="AD78" s="590">
        <f t="shared" si="14"/>
        <v>65.792264631043253</v>
      </c>
      <c r="AE78" s="47"/>
    </row>
    <row r="79" spans="1:32" ht="42.75" customHeight="1" x14ac:dyDescent="0.25">
      <c r="A79" s="610">
        <v>30</v>
      </c>
      <c r="B79" s="486"/>
      <c r="C79" s="478"/>
      <c r="D79" s="483" t="s">
        <v>73</v>
      </c>
      <c r="E79" s="710" t="s">
        <v>139</v>
      </c>
      <c r="F79" s="610" t="s">
        <v>112</v>
      </c>
      <c r="G79" s="593"/>
      <c r="H79" s="600"/>
      <c r="I79" s="593"/>
      <c r="J79" s="600"/>
      <c r="K79" s="672"/>
      <c r="L79" s="58"/>
      <c r="M79" s="622">
        <v>35</v>
      </c>
      <c r="N79" s="624">
        <v>15600</v>
      </c>
      <c r="O79" s="622">
        <v>2</v>
      </c>
      <c r="P79" s="624">
        <v>3145.5</v>
      </c>
      <c r="Q79" s="626"/>
      <c r="R79" s="631"/>
      <c r="S79" s="622"/>
      <c r="T79" s="624"/>
      <c r="U79" s="622"/>
      <c r="V79" s="624"/>
      <c r="W79" s="622">
        <f t="shared" si="11"/>
        <v>2</v>
      </c>
      <c r="X79" s="659">
        <f t="shared" si="11"/>
        <v>3145.5</v>
      </c>
      <c r="Y79" s="660">
        <f t="shared" si="12"/>
        <v>5.7142857142857144</v>
      </c>
      <c r="Z79" s="58">
        <f t="shared" si="12"/>
        <v>20.16346153846154</v>
      </c>
      <c r="AA79" s="630">
        <f t="shared" si="13"/>
        <v>2</v>
      </c>
      <c r="AB79" s="623">
        <f t="shared" si="2"/>
        <v>3145.5</v>
      </c>
      <c r="AC79" s="711" t="e">
        <f t="shared" si="14"/>
        <v>#DIV/0!</v>
      </c>
      <c r="AD79" s="660" t="e">
        <f t="shared" si="14"/>
        <v>#DIV/0!</v>
      </c>
      <c r="AE79" s="482"/>
    </row>
    <row r="80" spans="1:32" ht="70.5" customHeight="1" x14ac:dyDescent="0.25">
      <c r="A80" s="46"/>
      <c r="B80" s="700" t="s">
        <v>213</v>
      </c>
      <c r="C80" s="509" t="s">
        <v>157</v>
      </c>
      <c r="D80" s="698"/>
      <c r="E80" s="472"/>
      <c r="F80" s="609"/>
      <c r="G80" s="626"/>
      <c r="H80" s="631"/>
      <c r="I80" s="626"/>
      <c r="J80" s="631"/>
      <c r="K80" s="620"/>
      <c r="L80" s="57"/>
      <c r="M80" s="459"/>
      <c r="N80" s="692"/>
      <c r="O80" s="459"/>
      <c r="P80" s="69"/>
      <c r="Q80" s="604"/>
      <c r="R80" s="607"/>
      <c r="S80" s="459"/>
      <c r="T80" s="69"/>
      <c r="U80" s="504"/>
      <c r="V80" s="69"/>
      <c r="W80" s="620"/>
      <c r="X80" s="594"/>
      <c r="Y80" s="596"/>
      <c r="Z80" s="57"/>
      <c r="AA80" s="599"/>
      <c r="AB80" s="607">
        <f t="shared" si="2"/>
        <v>0</v>
      </c>
      <c r="AC80" s="596"/>
      <c r="AD80" s="596"/>
      <c r="AE80" s="46"/>
    </row>
    <row r="81" spans="1:32" ht="48" customHeight="1" x14ac:dyDescent="0.25">
      <c r="A81" s="482">
        <v>31</v>
      </c>
      <c r="B81" s="701" t="s">
        <v>238</v>
      </c>
      <c r="C81" s="381" t="s">
        <v>164</v>
      </c>
      <c r="D81" s="689" t="s">
        <v>70</v>
      </c>
      <c r="E81" s="473" t="s">
        <v>145</v>
      </c>
      <c r="F81" s="611" t="s">
        <v>112</v>
      </c>
      <c r="G81" s="626">
        <v>324</v>
      </c>
      <c r="H81" s="631">
        <v>1055000</v>
      </c>
      <c r="I81" s="626">
        <f>60+100+160+210</f>
        <v>530</v>
      </c>
      <c r="J81" s="683">
        <f>82031+130850+407400+810819.1</f>
        <v>1431100.1</v>
      </c>
      <c r="K81" s="625">
        <v>50</v>
      </c>
      <c r="L81" s="67">
        <v>239320</v>
      </c>
      <c r="M81" s="55">
        <v>50</v>
      </c>
      <c r="N81" s="662">
        <f>400+528+12748+1400+197275+4950+4950+500+11900+280+3575</f>
        <v>238506</v>
      </c>
      <c r="O81" s="622">
        <v>0</v>
      </c>
      <c r="P81" s="624">
        <v>15600</v>
      </c>
      <c r="Q81" s="626"/>
      <c r="R81" s="631"/>
      <c r="S81" s="622"/>
      <c r="T81" s="624"/>
      <c r="U81" s="669"/>
      <c r="V81" s="624"/>
      <c r="W81" s="672">
        <f t="shared" si="11"/>
        <v>0</v>
      </c>
      <c r="X81" s="659">
        <f t="shared" si="11"/>
        <v>15600</v>
      </c>
      <c r="Y81" s="660">
        <f t="shared" si="12"/>
        <v>0</v>
      </c>
      <c r="Z81" s="58">
        <f t="shared" si="12"/>
        <v>6.5407159568312752</v>
      </c>
      <c r="AA81" s="630">
        <f t="shared" si="13"/>
        <v>530</v>
      </c>
      <c r="AB81" s="624">
        <f t="shared" si="2"/>
        <v>1446700.1</v>
      </c>
      <c r="AC81" s="660">
        <f t="shared" si="14"/>
        <v>163.58024691358025</v>
      </c>
      <c r="AD81" s="660">
        <f t="shared" si="14"/>
        <v>137.12797156398105</v>
      </c>
      <c r="AE81" s="482"/>
    </row>
    <row r="82" spans="1:32" ht="59.25" customHeight="1" x14ac:dyDescent="0.25">
      <c r="A82" s="482"/>
      <c r="B82" s="701" t="s">
        <v>239</v>
      </c>
      <c r="C82" s="381" t="s">
        <v>22</v>
      </c>
      <c r="D82" s="44"/>
      <c r="E82" s="690" t="s">
        <v>142</v>
      </c>
      <c r="F82" s="610" t="s">
        <v>112</v>
      </c>
      <c r="G82" s="626">
        <v>319</v>
      </c>
      <c r="H82" s="631">
        <v>292500</v>
      </c>
      <c r="I82" s="626">
        <f>69+50+0+40</f>
        <v>159</v>
      </c>
      <c r="J82" s="683">
        <f>41805+180700+0+21519.8</f>
        <v>244024.8</v>
      </c>
      <c r="K82" s="672">
        <v>80</v>
      </c>
      <c r="L82" s="624">
        <v>60000</v>
      </c>
      <c r="M82" s="669">
        <v>80</v>
      </c>
      <c r="N82" s="66">
        <f>482.7+413.3+150+22000+8400+2400+1980+15600+8000</f>
        <v>59426</v>
      </c>
      <c r="O82" s="721">
        <v>0</v>
      </c>
      <c r="P82" s="725"/>
      <c r="Q82" s="626"/>
      <c r="R82" s="631"/>
      <c r="S82" s="721"/>
      <c r="T82" s="725"/>
      <c r="U82" s="730"/>
      <c r="V82" s="725"/>
      <c r="W82" s="670">
        <f t="shared" si="11"/>
        <v>0</v>
      </c>
      <c r="X82" s="627">
        <f t="shared" si="11"/>
        <v>0</v>
      </c>
      <c r="Y82" s="628">
        <f t="shared" si="12"/>
        <v>0</v>
      </c>
      <c r="Z82" s="629">
        <f t="shared" si="12"/>
        <v>0</v>
      </c>
      <c r="AA82" s="652">
        <f t="shared" si="13"/>
        <v>159</v>
      </c>
      <c r="AB82" s="631">
        <f t="shared" ref="AB82:AB103" si="15">X82+J82</f>
        <v>244024.8</v>
      </c>
      <c r="AC82" s="628">
        <f t="shared" si="14"/>
        <v>49.843260188087775</v>
      </c>
      <c r="AD82" s="628">
        <f t="shared" si="14"/>
        <v>83.427282051282049</v>
      </c>
      <c r="AE82" s="482"/>
      <c r="AF82" s="53" t="s">
        <v>421</v>
      </c>
    </row>
    <row r="83" spans="1:32" ht="71.25" customHeight="1" x14ac:dyDescent="0.25">
      <c r="A83" s="482"/>
      <c r="B83" s="702" t="s">
        <v>240</v>
      </c>
      <c r="C83" s="470" t="s">
        <v>266</v>
      </c>
      <c r="D83" s="693"/>
      <c r="E83" s="699"/>
      <c r="F83" s="609"/>
      <c r="G83" s="626"/>
      <c r="H83" s="631"/>
      <c r="I83" s="626"/>
      <c r="J83" s="631"/>
      <c r="K83" s="620"/>
      <c r="L83" s="69"/>
      <c r="M83" s="459"/>
      <c r="N83" s="661"/>
      <c r="O83" s="721"/>
      <c r="P83" s="725"/>
      <c r="Q83" s="626"/>
      <c r="R83" s="631"/>
      <c r="S83" s="721"/>
      <c r="T83" s="725"/>
      <c r="U83" s="730"/>
      <c r="V83" s="725"/>
      <c r="W83" s="670"/>
      <c r="X83" s="627"/>
      <c r="Y83" s="628"/>
      <c r="Z83" s="629"/>
      <c r="AA83" s="652"/>
      <c r="AB83" s="631"/>
      <c r="AC83" s="628"/>
      <c r="AD83" s="628"/>
      <c r="AE83" s="482"/>
    </row>
    <row r="84" spans="1:32" ht="60.75" customHeight="1" x14ac:dyDescent="0.25">
      <c r="A84" s="482"/>
      <c r="B84" s="489" t="s">
        <v>241</v>
      </c>
      <c r="C84" s="475" t="s">
        <v>165</v>
      </c>
      <c r="D84" s="44"/>
      <c r="E84" s="16" t="s">
        <v>140</v>
      </c>
      <c r="F84" s="610" t="s">
        <v>112</v>
      </c>
      <c r="G84" s="626">
        <v>105</v>
      </c>
      <c r="H84" s="631">
        <v>405000</v>
      </c>
      <c r="I84" s="626">
        <f>20+30+20+20</f>
        <v>90</v>
      </c>
      <c r="J84" s="629">
        <f>47292+74400+0+11999.95</f>
        <v>133691.95000000001</v>
      </c>
      <c r="K84" s="672">
        <v>20</v>
      </c>
      <c r="L84" s="623">
        <v>69319.899999999994</v>
      </c>
      <c r="M84" s="622">
        <v>20</v>
      </c>
      <c r="N84" s="671">
        <f>400+524.8+566.1+360+49000+1200+400+13380</f>
        <v>65830.899999999994</v>
      </c>
      <c r="O84" s="721">
        <v>0</v>
      </c>
      <c r="P84" s="725"/>
      <c r="Q84" s="626"/>
      <c r="R84" s="631"/>
      <c r="S84" s="721"/>
      <c r="T84" s="725"/>
      <c r="U84" s="730"/>
      <c r="V84" s="725"/>
      <c r="W84" s="670">
        <f>O84+Q84+S84+U84</f>
        <v>0</v>
      </c>
      <c r="X84" s="627">
        <f>P84+R84+T84+V84</f>
        <v>0</v>
      </c>
      <c r="Y84" s="628">
        <f>W84/M84*100</f>
        <v>0</v>
      </c>
      <c r="Z84" s="629">
        <f>X84/N84*100</f>
        <v>0</v>
      </c>
      <c r="AA84" s="652">
        <f t="shared" si="13"/>
        <v>90</v>
      </c>
      <c r="AB84" s="631">
        <f t="shared" si="15"/>
        <v>133691.95000000001</v>
      </c>
      <c r="AC84" s="628">
        <f>AA84/G84*100</f>
        <v>85.714285714285708</v>
      </c>
      <c r="AD84" s="628">
        <f>AB84/H84*100</f>
        <v>33.010358024691364</v>
      </c>
      <c r="AE84" s="482"/>
    </row>
    <row r="85" spans="1:32" ht="45.75" customHeight="1" x14ac:dyDescent="0.25">
      <c r="A85" s="46"/>
      <c r="B85" s="703" t="s">
        <v>232</v>
      </c>
      <c r="C85" s="507" t="s">
        <v>158</v>
      </c>
      <c r="D85" s="691"/>
      <c r="E85" s="699"/>
      <c r="F85" s="609"/>
      <c r="G85" s="604"/>
      <c r="H85" s="607"/>
      <c r="I85" s="604"/>
      <c r="J85" s="607"/>
      <c r="K85" s="620"/>
      <c r="L85" s="492"/>
      <c r="M85" s="459"/>
      <c r="N85" s="664"/>
      <c r="O85" s="753"/>
      <c r="P85" s="754"/>
      <c r="Q85" s="604"/>
      <c r="R85" s="607"/>
      <c r="S85" s="753"/>
      <c r="T85" s="754"/>
      <c r="U85" s="755"/>
      <c r="V85" s="754"/>
      <c r="W85" s="756"/>
      <c r="X85" s="757"/>
      <c r="Y85" s="758"/>
      <c r="Z85" s="759"/>
      <c r="AA85" s="760"/>
      <c r="AB85" s="754"/>
      <c r="AC85" s="758"/>
      <c r="AD85" s="758"/>
      <c r="AE85" s="46"/>
    </row>
    <row r="86" spans="1:32" ht="63" customHeight="1" x14ac:dyDescent="0.25">
      <c r="A86" s="482"/>
      <c r="B86" s="489" t="s">
        <v>265</v>
      </c>
      <c r="C86" s="614" t="s">
        <v>264</v>
      </c>
      <c r="D86" s="44"/>
      <c r="E86" s="648" t="s">
        <v>246</v>
      </c>
      <c r="F86" s="621" t="s">
        <v>248</v>
      </c>
      <c r="G86" s="626">
        <v>278</v>
      </c>
      <c r="H86" s="631">
        <v>1900000</v>
      </c>
      <c r="I86" s="626">
        <f>0+64+0+0</f>
        <v>64</v>
      </c>
      <c r="J86" s="717">
        <f>0+225553+0+0</f>
        <v>225553</v>
      </c>
      <c r="K86" s="625">
        <v>1</v>
      </c>
      <c r="L86" s="67">
        <v>10500</v>
      </c>
      <c r="M86" s="55">
        <v>20</v>
      </c>
      <c r="N86" s="581">
        <f>322+200+6178+2200+2440</f>
        <v>11340</v>
      </c>
      <c r="O86" s="721">
        <v>0</v>
      </c>
      <c r="P86" s="725"/>
      <c r="Q86" s="626"/>
      <c r="R86" s="631"/>
      <c r="S86" s="721"/>
      <c r="T86" s="725"/>
      <c r="U86" s="730"/>
      <c r="V86" s="725"/>
      <c r="W86" s="731">
        <f t="shared" si="11"/>
        <v>0</v>
      </c>
      <c r="X86" s="722">
        <f t="shared" si="11"/>
        <v>0</v>
      </c>
      <c r="Y86" s="723">
        <f t="shared" si="12"/>
        <v>0</v>
      </c>
      <c r="Z86" s="732">
        <f t="shared" si="12"/>
        <v>0</v>
      </c>
      <c r="AA86" s="724">
        <f t="shared" si="13"/>
        <v>64</v>
      </c>
      <c r="AB86" s="725">
        <f t="shared" si="15"/>
        <v>225553</v>
      </c>
      <c r="AC86" s="723">
        <f t="shared" si="14"/>
        <v>23.021582733812952</v>
      </c>
      <c r="AD86" s="723">
        <f t="shared" si="14"/>
        <v>11.871210526315789</v>
      </c>
      <c r="AE86" s="482"/>
    </row>
    <row r="87" spans="1:32" ht="48" customHeight="1" x14ac:dyDescent="0.25">
      <c r="A87" s="482"/>
      <c r="B87" s="490"/>
      <c r="C87" s="613"/>
      <c r="D87" s="44"/>
      <c r="E87" s="471" t="s">
        <v>143</v>
      </c>
      <c r="F87" s="621" t="s">
        <v>248</v>
      </c>
      <c r="G87" s="496"/>
      <c r="H87" s="498"/>
      <c r="I87" s="496"/>
      <c r="J87" s="498"/>
      <c r="K87" s="625">
        <v>1</v>
      </c>
      <c r="L87" s="67">
        <v>149320</v>
      </c>
      <c r="M87" s="505">
        <v>30</v>
      </c>
      <c r="N87" s="581">
        <f>400+499+3826+600+129000+4500+3675+2100+6480+708</f>
        <v>151788</v>
      </c>
      <c r="O87" s="721">
        <v>0</v>
      </c>
      <c r="P87" s="725"/>
      <c r="Q87" s="626"/>
      <c r="R87" s="631"/>
      <c r="S87" s="721"/>
      <c r="T87" s="725"/>
      <c r="U87" s="730"/>
      <c r="V87" s="725"/>
      <c r="W87" s="670">
        <f t="shared" si="11"/>
        <v>0</v>
      </c>
      <c r="X87" s="627">
        <f t="shared" si="11"/>
        <v>0</v>
      </c>
      <c r="Y87" s="628">
        <f t="shared" si="12"/>
        <v>0</v>
      </c>
      <c r="Z87" s="629">
        <f t="shared" si="12"/>
        <v>0</v>
      </c>
      <c r="AA87" s="652">
        <f t="shared" si="13"/>
        <v>0</v>
      </c>
      <c r="AB87" s="631">
        <f t="shared" si="15"/>
        <v>0</v>
      </c>
      <c r="AC87" s="628" t="e">
        <f t="shared" si="14"/>
        <v>#DIV/0!</v>
      </c>
      <c r="AD87" s="628" t="e">
        <f t="shared" si="14"/>
        <v>#DIV/0!</v>
      </c>
      <c r="AE87" s="482"/>
    </row>
    <row r="88" spans="1:32" ht="60" customHeight="1" x14ac:dyDescent="0.25">
      <c r="A88" s="610"/>
      <c r="B88" s="766"/>
      <c r="C88" s="646"/>
      <c r="D88" s="44"/>
      <c r="E88" s="18" t="s">
        <v>144</v>
      </c>
      <c r="F88" s="494" t="s">
        <v>248</v>
      </c>
      <c r="G88" s="496"/>
      <c r="H88" s="498"/>
      <c r="I88" s="496"/>
      <c r="J88" s="498"/>
      <c r="K88" s="28">
        <v>1</v>
      </c>
      <c r="L88" s="9">
        <v>149320</v>
      </c>
      <c r="M88" s="56">
        <v>30</v>
      </c>
      <c r="N88" s="66">
        <f>400+525+2650+520+129000+3675+2100+6480+708</f>
        <v>146058</v>
      </c>
      <c r="O88" s="721">
        <v>0</v>
      </c>
      <c r="P88" s="725"/>
      <c r="Q88" s="626"/>
      <c r="R88" s="631"/>
      <c r="S88" s="721"/>
      <c r="T88" s="725"/>
      <c r="U88" s="730"/>
      <c r="V88" s="725"/>
      <c r="W88" s="670">
        <f t="shared" si="11"/>
        <v>0</v>
      </c>
      <c r="X88" s="627">
        <f t="shared" si="11"/>
        <v>0</v>
      </c>
      <c r="Y88" s="628">
        <f t="shared" si="12"/>
        <v>0</v>
      </c>
      <c r="Z88" s="629">
        <f t="shared" si="12"/>
        <v>0</v>
      </c>
      <c r="AA88" s="652">
        <f t="shared" si="13"/>
        <v>0</v>
      </c>
      <c r="AB88" s="631">
        <f t="shared" si="15"/>
        <v>0</v>
      </c>
      <c r="AC88" s="628" t="e">
        <f t="shared" si="14"/>
        <v>#DIV/0!</v>
      </c>
      <c r="AD88" s="628" t="e">
        <f t="shared" si="14"/>
        <v>#DIV/0!</v>
      </c>
      <c r="AE88" s="482"/>
    </row>
    <row r="89" spans="1:32" ht="27.75" customHeight="1" x14ac:dyDescent="0.25">
      <c r="A89" s="47"/>
      <c r="B89" s="491"/>
      <c r="C89" s="484"/>
      <c r="D89" s="14"/>
      <c r="E89" s="18" t="s">
        <v>141</v>
      </c>
      <c r="F89" s="333" t="s">
        <v>112</v>
      </c>
      <c r="G89" s="495"/>
      <c r="H89" s="497"/>
      <c r="I89" s="495"/>
      <c r="J89" s="497"/>
      <c r="K89" s="28"/>
      <c r="L89" s="29"/>
      <c r="M89" s="56">
        <v>35</v>
      </c>
      <c r="N89" s="653">
        <f>499+1444.2+340+59800+62400+62400+5514</f>
        <v>192397.2</v>
      </c>
      <c r="O89" s="733">
        <v>18</v>
      </c>
      <c r="P89" s="606"/>
      <c r="Q89" s="593"/>
      <c r="R89" s="600"/>
      <c r="S89" s="733"/>
      <c r="T89" s="606"/>
      <c r="U89" s="734"/>
      <c r="V89" s="606"/>
      <c r="W89" s="750">
        <f t="shared" si="11"/>
        <v>18</v>
      </c>
      <c r="X89" s="595">
        <f t="shared" si="11"/>
        <v>0</v>
      </c>
      <c r="Y89" s="597">
        <f t="shared" si="12"/>
        <v>51.428571428571423</v>
      </c>
      <c r="Z89" s="598">
        <f t="shared" si="12"/>
        <v>0</v>
      </c>
      <c r="AA89" s="601">
        <f t="shared" si="13"/>
        <v>18</v>
      </c>
      <c r="AB89" s="600">
        <f t="shared" si="15"/>
        <v>0</v>
      </c>
      <c r="AC89" s="597" t="e">
        <f t="shared" si="14"/>
        <v>#DIV/0!</v>
      </c>
      <c r="AD89" s="597" t="e">
        <f t="shared" si="14"/>
        <v>#DIV/0!</v>
      </c>
      <c r="AE89" s="47"/>
    </row>
    <row r="90" spans="1:32" ht="72" customHeight="1" x14ac:dyDescent="0.25">
      <c r="A90" s="47">
        <v>32</v>
      </c>
      <c r="B90" s="48"/>
      <c r="C90" s="379"/>
      <c r="D90" s="14" t="s">
        <v>74</v>
      </c>
      <c r="E90" s="4" t="s">
        <v>146</v>
      </c>
      <c r="F90" s="7" t="s">
        <v>147</v>
      </c>
      <c r="G90" s="495"/>
      <c r="H90" s="497"/>
      <c r="I90" s="495"/>
      <c r="J90" s="497"/>
      <c r="K90" s="19"/>
      <c r="L90" s="29"/>
      <c r="M90" s="19">
        <v>200</v>
      </c>
      <c r="N90" s="67">
        <v>27300</v>
      </c>
      <c r="O90" s="55">
        <v>0</v>
      </c>
      <c r="P90" s="67">
        <v>0</v>
      </c>
      <c r="Q90" s="593"/>
      <c r="R90" s="600"/>
      <c r="S90" s="55"/>
      <c r="T90" s="67"/>
      <c r="U90" s="55"/>
      <c r="V90" s="67"/>
      <c r="W90" s="55">
        <f t="shared" si="11"/>
        <v>0</v>
      </c>
      <c r="X90" s="589">
        <f t="shared" si="11"/>
        <v>0</v>
      </c>
      <c r="Y90" s="590">
        <f t="shared" si="12"/>
        <v>0</v>
      </c>
      <c r="Z90" s="493">
        <f t="shared" si="12"/>
        <v>0</v>
      </c>
      <c r="AA90" s="591">
        <f t="shared" si="13"/>
        <v>0</v>
      </c>
      <c r="AB90" s="67">
        <f t="shared" si="15"/>
        <v>0</v>
      </c>
      <c r="AC90" s="673" t="e">
        <f t="shared" si="14"/>
        <v>#DIV/0!</v>
      </c>
      <c r="AD90" s="674" t="e">
        <f t="shared" si="14"/>
        <v>#DIV/0!</v>
      </c>
      <c r="AE90" s="47"/>
    </row>
    <row r="91" spans="1:32" ht="60.75" customHeight="1" x14ac:dyDescent="0.25">
      <c r="A91" s="7">
        <v>33</v>
      </c>
      <c r="B91" s="48" t="s">
        <v>261</v>
      </c>
      <c r="C91" s="380" t="s">
        <v>260</v>
      </c>
      <c r="D91" s="6" t="s">
        <v>75</v>
      </c>
      <c r="E91" s="4" t="s">
        <v>148</v>
      </c>
      <c r="F91" s="7" t="s">
        <v>125</v>
      </c>
      <c r="G91" s="418">
        <v>5</v>
      </c>
      <c r="H91" s="142">
        <v>750000</v>
      </c>
      <c r="I91" s="418">
        <v>0</v>
      </c>
      <c r="J91" s="142">
        <f>0+245572+32402+0</f>
        <v>277974</v>
      </c>
      <c r="K91" s="19">
        <v>1</v>
      </c>
      <c r="L91" s="9">
        <v>149320</v>
      </c>
      <c r="M91" s="19">
        <v>1</v>
      </c>
      <c r="N91" s="23">
        <v>149319.9</v>
      </c>
      <c r="O91" s="19">
        <v>0</v>
      </c>
      <c r="P91" s="9">
        <v>0</v>
      </c>
      <c r="Q91" s="418"/>
      <c r="R91" s="142"/>
      <c r="S91" s="19"/>
      <c r="T91" s="9"/>
      <c r="U91" s="19"/>
      <c r="V91" s="9"/>
      <c r="W91" s="19">
        <f t="shared" si="11"/>
        <v>0</v>
      </c>
      <c r="X91" s="68">
        <f t="shared" si="11"/>
        <v>0</v>
      </c>
      <c r="Y91" s="410">
        <f t="shared" si="12"/>
        <v>0</v>
      </c>
      <c r="Z91" s="29">
        <f t="shared" si="12"/>
        <v>0</v>
      </c>
      <c r="AA91" s="453">
        <f t="shared" si="13"/>
        <v>0</v>
      </c>
      <c r="AB91" s="9">
        <f t="shared" si="15"/>
        <v>277974</v>
      </c>
      <c r="AC91" s="432">
        <f t="shared" si="14"/>
        <v>0</v>
      </c>
      <c r="AD91" s="410">
        <f t="shared" si="14"/>
        <v>37.063200000000002</v>
      </c>
      <c r="AE91" s="7"/>
    </row>
    <row r="92" spans="1:32" s="376" customFormat="1" ht="33" customHeight="1" x14ac:dyDescent="0.25">
      <c r="A92" s="553" t="s">
        <v>7</v>
      </c>
      <c r="B92" s="575" t="s">
        <v>242</v>
      </c>
      <c r="C92" s="567" t="s">
        <v>159</v>
      </c>
      <c r="D92" s="463" t="s">
        <v>76</v>
      </c>
      <c r="E92" s="576" t="s">
        <v>149</v>
      </c>
      <c r="F92" s="555" t="s">
        <v>93</v>
      </c>
      <c r="G92" s="556">
        <v>1.01</v>
      </c>
      <c r="H92" s="557">
        <f>SUM(H94:H96)</f>
        <v>703200</v>
      </c>
      <c r="I92" s="556">
        <v>0.79</v>
      </c>
      <c r="J92" s="557">
        <f>SUM(J94:J96)</f>
        <v>357661</v>
      </c>
      <c r="K92" s="556">
        <v>0.83</v>
      </c>
      <c r="L92" s="559">
        <f>SUM(L94:L96)</f>
        <v>199319.85</v>
      </c>
      <c r="M92" s="556">
        <v>0.83</v>
      </c>
      <c r="N92" s="559">
        <f>SUM(N94:N96)</f>
        <v>199319.85</v>
      </c>
      <c r="O92" s="556">
        <v>0</v>
      </c>
      <c r="P92" s="557">
        <f>SUM(P94:P96)</f>
        <v>0</v>
      </c>
      <c r="Q92" s="747"/>
      <c r="R92" s="747"/>
      <c r="S92" s="557"/>
      <c r="T92" s="557"/>
      <c r="U92" s="557"/>
      <c r="V92" s="557"/>
      <c r="W92" s="557">
        <f>O92+Q92+S92+U92</f>
        <v>0</v>
      </c>
      <c r="X92" s="562">
        <f>P92+R92+T92+V92</f>
        <v>0</v>
      </c>
      <c r="Y92" s="558">
        <f t="shared" si="12"/>
        <v>0</v>
      </c>
      <c r="Z92" s="559">
        <f t="shared" si="12"/>
        <v>0</v>
      </c>
      <c r="AA92" s="558">
        <f t="shared" si="13"/>
        <v>0.79</v>
      </c>
      <c r="AB92" s="557">
        <f t="shared" si="15"/>
        <v>357661</v>
      </c>
      <c r="AC92" s="573">
        <f t="shared" si="14"/>
        <v>78.21782178217822</v>
      </c>
      <c r="AD92" s="558">
        <f t="shared" si="14"/>
        <v>50.861916951080779</v>
      </c>
      <c r="AE92" s="555"/>
    </row>
    <row r="93" spans="1:32" ht="33.75" customHeight="1" x14ac:dyDescent="0.25">
      <c r="A93" s="510"/>
      <c r="B93" s="549"/>
      <c r="C93" s="550"/>
      <c r="D93" s="551" t="s">
        <v>77</v>
      </c>
      <c r="E93" s="530"/>
      <c r="F93" s="510"/>
      <c r="G93" s="675"/>
      <c r="H93" s="676"/>
      <c r="I93" s="675"/>
      <c r="J93" s="676"/>
      <c r="K93" s="677"/>
      <c r="L93" s="667"/>
      <c r="M93" s="518"/>
      <c r="N93" s="522"/>
      <c r="O93" s="518"/>
      <c r="P93" s="520"/>
      <c r="Q93" s="738"/>
      <c r="R93" s="739"/>
      <c r="S93" s="518"/>
      <c r="T93" s="520"/>
      <c r="U93" s="518"/>
      <c r="V93" s="520"/>
      <c r="W93" s="518"/>
      <c r="X93" s="519"/>
      <c r="Y93" s="521"/>
      <c r="Z93" s="522"/>
      <c r="AA93" s="523"/>
      <c r="AB93" s="524"/>
      <c r="AC93" s="525"/>
      <c r="AD93" s="521"/>
      <c r="AE93" s="510"/>
    </row>
    <row r="94" spans="1:32" ht="39" customHeight="1" x14ac:dyDescent="0.25">
      <c r="A94" s="333">
        <v>34</v>
      </c>
      <c r="B94" s="487" t="s">
        <v>243</v>
      </c>
      <c r="C94" s="485" t="s">
        <v>193</v>
      </c>
      <c r="D94" s="499" t="s">
        <v>78</v>
      </c>
      <c r="E94" s="4" t="s">
        <v>150</v>
      </c>
      <c r="F94" s="333" t="s">
        <v>112</v>
      </c>
      <c r="G94" s="604">
        <v>585</v>
      </c>
      <c r="H94" s="607">
        <v>703200</v>
      </c>
      <c r="I94" s="604">
        <f>36+86+98+0</f>
        <v>220</v>
      </c>
      <c r="J94" s="607">
        <f>62767+142804+152090+0</f>
        <v>357661</v>
      </c>
      <c r="K94" s="459">
        <v>125</v>
      </c>
      <c r="L94" s="57">
        <v>199319.85</v>
      </c>
      <c r="M94" s="28">
        <v>55</v>
      </c>
      <c r="N94" s="9">
        <v>21541</v>
      </c>
      <c r="O94" s="19">
        <f>7+6+6</f>
        <v>19</v>
      </c>
      <c r="P94" s="9">
        <v>0</v>
      </c>
      <c r="Q94" s="418"/>
      <c r="R94" s="142"/>
      <c r="S94" s="19"/>
      <c r="T94" s="9"/>
      <c r="U94" s="19"/>
      <c r="V94" s="9"/>
      <c r="W94" s="19">
        <f t="shared" si="11"/>
        <v>19</v>
      </c>
      <c r="X94" s="68">
        <f t="shared" si="11"/>
        <v>0</v>
      </c>
      <c r="Y94" s="410">
        <f t="shared" si="12"/>
        <v>34.545454545454547</v>
      </c>
      <c r="Z94" s="29">
        <f t="shared" si="12"/>
        <v>0</v>
      </c>
      <c r="AA94" s="453">
        <f t="shared" si="13"/>
        <v>239</v>
      </c>
      <c r="AB94" s="9">
        <f t="shared" si="15"/>
        <v>357661</v>
      </c>
      <c r="AC94" s="432">
        <f t="shared" si="14"/>
        <v>40.854700854700852</v>
      </c>
      <c r="AD94" s="410">
        <f t="shared" si="14"/>
        <v>50.861916951080779</v>
      </c>
      <c r="AE94" s="7"/>
    </row>
    <row r="95" spans="1:32" ht="33.75" customHeight="1" x14ac:dyDescent="0.25">
      <c r="A95" s="333">
        <v>35</v>
      </c>
      <c r="B95" s="488"/>
      <c r="C95" s="477"/>
      <c r="D95" s="499" t="s">
        <v>79</v>
      </c>
      <c r="E95" s="4" t="s">
        <v>151</v>
      </c>
      <c r="F95" s="333" t="s">
        <v>112</v>
      </c>
      <c r="G95" s="496"/>
      <c r="H95" s="498"/>
      <c r="I95" s="496"/>
      <c r="J95" s="498"/>
      <c r="K95" s="622"/>
      <c r="L95" s="58"/>
      <c r="M95" s="28">
        <v>30</v>
      </c>
      <c r="N95" s="9">
        <v>11666</v>
      </c>
      <c r="O95" s="19">
        <v>1</v>
      </c>
      <c r="P95" s="9">
        <v>0</v>
      </c>
      <c r="Q95" s="418"/>
      <c r="R95" s="142"/>
      <c r="S95" s="19"/>
      <c r="T95" s="9"/>
      <c r="U95" s="19"/>
      <c r="V95" s="9"/>
      <c r="W95" s="19">
        <f t="shared" si="11"/>
        <v>1</v>
      </c>
      <c r="X95" s="68">
        <f t="shared" si="11"/>
        <v>0</v>
      </c>
      <c r="Y95" s="410">
        <f t="shared" si="12"/>
        <v>3.3333333333333335</v>
      </c>
      <c r="Z95" s="29">
        <f t="shared" si="12"/>
        <v>0</v>
      </c>
      <c r="AA95" s="453">
        <f t="shared" si="13"/>
        <v>1</v>
      </c>
      <c r="AB95" s="9">
        <f t="shared" si="15"/>
        <v>0</v>
      </c>
      <c r="AC95" s="456" t="e">
        <f t="shared" si="14"/>
        <v>#DIV/0!</v>
      </c>
      <c r="AD95" s="457" t="e">
        <f t="shared" si="14"/>
        <v>#DIV/0!</v>
      </c>
      <c r="AE95" s="7"/>
    </row>
    <row r="96" spans="1:32" ht="46.5" customHeight="1" x14ac:dyDescent="0.25">
      <c r="A96" s="333">
        <v>36</v>
      </c>
      <c r="B96" s="486"/>
      <c r="C96" s="478"/>
      <c r="D96" s="499" t="s">
        <v>80</v>
      </c>
      <c r="E96" s="4" t="s">
        <v>152</v>
      </c>
      <c r="F96" s="333" t="s">
        <v>112</v>
      </c>
      <c r="G96" s="495"/>
      <c r="H96" s="497"/>
      <c r="I96" s="495"/>
      <c r="J96" s="497"/>
      <c r="K96" s="55"/>
      <c r="L96" s="493"/>
      <c r="M96" s="28">
        <v>100</v>
      </c>
      <c r="N96" s="29">
        <v>166112.85</v>
      </c>
      <c r="O96" s="19">
        <v>0</v>
      </c>
      <c r="P96" s="9">
        <v>0</v>
      </c>
      <c r="Q96" s="418"/>
      <c r="R96" s="142"/>
      <c r="S96" s="19"/>
      <c r="T96" s="9"/>
      <c r="U96" s="19"/>
      <c r="V96" s="9"/>
      <c r="W96" s="19">
        <f t="shared" si="11"/>
        <v>0</v>
      </c>
      <c r="X96" s="68">
        <f t="shared" si="11"/>
        <v>0</v>
      </c>
      <c r="Y96" s="410">
        <f t="shared" si="12"/>
        <v>0</v>
      </c>
      <c r="Z96" s="29">
        <f t="shared" si="12"/>
        <v>0</v>
      </c>
      <c r="AA96" s="453">
        <f t="shared" si="13"/>
        <v>0</v>
      </c>
      <c r="AB96" s="9">
        <f t="shared" si="15"/>
        <v>0</v>
      </c>
      <c r="AC96" s="456" t="e">
        <f t="shared" si="14"/>
        <v>#DIV/0!</v>
      </c>
      <c r="AD96" s="457" t="e">
        <f t="shared" si="14"/>
        <v>#DIV/0!</v>
      </c>
      <c r="AE96" s="7"/>
    </row>
    <row r="97" spans="1:31" s="376" customFormat="1" ht="45.75" customHeight="1" x14ac:dyDescent="0.25">
      <c r="A97" s="553"/>
      <c r="B97" s="577" t="s">
        <v>232</v>
      </c>
      <c r="C97" s="578" t="s">
        <v>158</v>
      </c>
      <c r="D97" s="463" t="s">
        <v>76</v>
      </c>
      <c r="E97" s="576" t="s">
        <v>198</v>
      </c>
      <c r="F97" s="555" t="s">
        <v>93</v>
      </c>
      <c r="G97" s="678">
        <v>0.33</v>
      </c>
      <c r="H97" s="679">
        <f>SUM(H99:H100)</f>
        <v>2125000</v>
      </c>
      <c r="I97" s="644">
        <f>0.23+0.03+0.053+0.018</f>
        <v>0.33100000000000002</v>
      </c>
      <c r="J97" s="679">
        <f>SUM(J99:J100)</f>
        <v>1742154</v>
      </c>
      <c r="K97" s="678">
        <v>0.28999999999999998</v>
      </c>
      <c r="L97" s="643">
        <f>SUM(L99:L100)</f>
        <v>1073851.6499999999</v>
      </c>
      <c r="M97" s="556">
        <v>0.28999999999999998</v>
      </c>
      <c r="N97" s="559">
        <f>SUM(N99:N100)</f>
        <v>1073851.6499999999</v>
      </c>
      <c r="O97" s="556">
        <v>0</v>
      </c>
      <c r="P97" s="571">
        <f>SUM(P99:P100)</f>
        <v>494.3</v>
      </c>
      <c r="Q97" s="748"/>
      <c r="R97" s="748"/>
      <c r="S97" s="571"/>
      <c r="T97" s="571"/>
      <c r="U97" s="571"/>
      <c r="V97" s="571"/>
      <c r="W97" s="571">
        <f>O97+Q97+S97+U97</f>
        <v>0</v>
      </c>
      <c r="X97" s="562">
        <f>P97+R97+T97+V97</f>
        <v>494.3</v>
      </c>
      <c r="Y97" s="558">
        <f>W97/M97*100</f>
        <v>0</v>
      </c>
      <c r="Z97" s="559">
        <f>X97/N97*100</f>
        <v>4.6030566698854546E-2</v>
      </c>
      <c r="AA97" s="558">
        <f>I97+W97</f>
        <v>0.33100000000000002</v>
      </c>
      <c r="AB97" s="571">
        <f>X97+J97</f>
        <v>1742648.3</v>
      </c>
      <c r="AC97" s="573">
        <f>AA97/G97*100</f>
        <v>100.3030303030303</v>
      </c>
      <c r="AD97" s="558">
        <f>AB97/H97*100</f>
        <v>82.006978823529423</v>
      </c>
      <c r="AE97" s="555"/>
    </row>
    <row r="98" spans="1:31" ht="45" customHeight="1" x14ac:dyDescent="0.25">
      <c r="A98" s="510"/>
      <c r="B98" s="552"/>
      <c r="C98" s="529"/>
      <c r="D98" s="513" t="s">
        <v>81</v>
      </c>
      <c r="E98" s="530"/>
      <c r="F98" s="510"/>
      <c r="G98" s="516"/>
      <c r="H98" s="515"/>
      <c r="I98" s="516"/>
      <c r="J98" s="515"/>
      <c r="K98" s="518"/>
      <c r="L98" s="522"/>
      <c r="M98" s="518"/>
      <c r="N98" s="522"/>
      <c r="O98" s="518"/>
      <c r="P98" s="520"/>
      <c r="Q98" s="738"/>
      <c r="R98" s="739"/>
      <c r="S98" s="518"/>
      <c r="T98" s="520"/>
      <c r="U98" s="518"/>
      <c r="V98" s="520"/>
      <c r="W98" s="518"/>
      <c r="X98" s="519"/>
      <c r="Y98" s="521"/>
      <c r="Z98" s="522"/>
      <c r="AA98" s="523"/>
      <c r="AB98" s="520"/>
      <c r="AC98" s="525"/>
      <c r="AD98" s="521"/>
      <c r="AE98" s="510"/>
    </row>
    <row r="99" spans="1:31" ht="48" customHeight="1" x14ac:dyDescent="0.25">
      <c r="A99" s="7">
        <v>37</v>
      </c>
      <c r="B99" s="48" t="s">
        <v>244</v>
      </c>
      <c r="C99" s="380" t="s">
        <v>259</v>
      </c>
      <c r="D99" s="6" t="s">
        <v>82</v>
      </c>
      <c r="E99" s="4" t="s">
        <v>153</v>
      </c>
      <c r="F99" s="7" t="s">
        <v>95</v>
      </c>
      <c r="G99" s="418">
        <v>5</v>
      </c>
      <c r="H99" s="142">
        <v>350000</v>
      </c>
      <c r="I99" s="418">
        <v>4</v>
      </c>
      <c r="J99" s="142">
        <f>124885+45579+0+4700</f>
        <v>175164</v>
      </c>
      <c r="K99" s="19">
        <v>1</v>
      </c>
      <c r="L99" s="9">
        <v>70000</v>
      </c>
      <c r="M99" s="19">
        <v>1</v>
      </c>
      <c r="N99" s="9">
        <v>2760</v>
      </c>
      <c r="O99" s="19">
        <v>0</v>
      </c>
      <c r="P99" s="23">
        <v>494.3</v>
      </c>
      <c r="Q99" s="418"/>
      <c r="R99" s="681"/>
      <c r="S99" s="19"/>
      <c r="T99" s="9"/>
      <c r="U99" s="19"/>
      <c r="V99" s="9"/>
      <c r="W99" s="19">
        <f t="shared" si="11"/>
        <v>0</v>
      </c>
      <c r="X99" s="68">
        <f t="shared" si="11"/>
        <v>494.3</v>
      </c>
      <c r="Y99" s="410">
        <f t="shared" si="12"/>
        <v>0</v>
      </c>
      <c r="Z99" s="29">
        <f t="shared" si="12"/>
        <v>17.909420289855074</v>
      </c>
      <c r="AA99" s="453">
        <f t="shared" si="13"/>
        <v>4</v>
      </c>
      <c r="AB99" s="23">
        <f t="shared" si="15"/>
        <v>175658.3</v>
      </c>
      <c r="AC99" s="432">
        <f t="shared" si="14"/>
        <v>80</v>
      </c>
      <c r="AD99" s="410">
        <f t="shared" si="14"/>
        <v>50.188085714285712</v>
      </c>
      <c r="AE99" s="7"/>
    </row>
    <row r="100" spans="1:31" ht="51.75" customHeight="1" x14ac:dyDescent="0.25">
      <c r="A100" s="7">
        <v>38</v>
      </c>
      <c r="B100" s="48" t="s">
        <v>263</v>
      </c>
      <c r="C100" s="380" t="s">
        <v>262</v>
      </c>
      <c r="D100" s="6" t="s">
        <v>81</v>
      </c>
      <c r="E100" s="4" t="s">
        <v>154</v>
      </c>
      <c r="F100" s="15" t="s">
        <v>252</v>
      </c>
      <c r="G100" s="418">
        <v>5</v>
      </c>
      <c r="H100" s="142">
        <v>1775000</v>
      </c>
      <c r="I100" s="418">
        <v>4</v>
      </c>
      <c r="J100" s="142">
        <f>0+1566990+0+0</f>
        <v>1566990</v>
      </c>
      <c r="K100" s="19">
        <v>1011</v>
      </c>
      <c r="L100" s="29">
        <v>1003851.65</v>
      </c>
      <c r="M100" s="19">
        <v>25</v>
      </c>
      <c r="N100" s="29">
        <v>1071091.6499999999</v>
      </c>
      <c r="O100" s="19">
        <v>0</v>
      </c>
      <c r="P100" s="23">
        <v>0</v>
      </c>
      <c r="Q100" s="418"/>
      <c r="R100" s="142"/>
      <c r="S100" s="19"/>
      <c r="T100" s="9"/>
      <c r="U100" s="19"/>
      <c r="V100" s="9"/>
      <c r="W100" s="19">
        <f t="shared" si="11"/>
        <v>0</v>
      </c>
      <c r="X100" s="68">
        <f t="shared" si="11"/>
        <v>0</v>
      </c>
      <c r="Y100" s="410">
        <f t="shared" si="12"/>
        <v>0</v>
      </c>
      <c r="Z100" s="29">
        <f t="shared" si="12"/>
        <v>0</v>
      </c>
      <c r="AA100" s="453">
        <f t="shared" si="13"/>
        <v>4</v>
      </c>
      <c r="AB100" s="9">
        <f t="shared" si="15"/>
        <v>1566990</v>
      </c>
      <c r="AC100" s="432">
        <f t="shared" si="14"/>
        <v>80</v>
      </c>
      <c r="AD100" s="410">
        <f t="shared" si="14"/>
        <v>88.281126760563382</v>
      </c>
      <c r="AE100" s="7"/>
    </row>
    <row r="101" spans="1:31" s="376" customFormat="1" ht="48" customHeight="1" x14ac:dyDescent="0.25">
      <c r="A101" s="553" t="s">
        <v>426</v>
      </c>
      <c r="B101" s="575" t="s">
        <v>232</v>
      </c>
      <c r="C101" s="567" t="s">
        <v>158</v>
      </c>
      <c r="D101" s="463" t="s">
        <v>83</v>
      </c>
      <c r="E101" s="554" t="s">
        <v>155</v>
      </c>
      <c r="F101" s="555" t="s">
        <v>93</v>
      </c>
      <c r="G101" s="556">
        <v>100</v>
      </c>
      <c r="H101" s="557">
        <v>1725000</v>
      </c>
      <c r="I101" s="558">
        <f>I103/G103*100</f>
        <v>99.671232876712324</v>
      </c>
      <c r="J101" s="562">
        <v>1402794.8659999999</v>
      </c>
      <c r="K101" s="556">
        <v>100</v>
      </c>
      <c r="L101" s="557">
        <v>400000</v>
      </c>
      <c r="M101" s="556">
        <v>100</v>
      </c>
      <c r="N101" s="557">
        <f>SUM(N103)</f>
        <v>400000</v>
      </c>
      <c r="O101" s="735">
        <v>6.8</v>
      </c>
      <c r="P101" s="557">
        <v>0</v>
      </c>
      <c r="Q101" s="749"/>
      <c r="R101" s="749"/>
      <c r="S101" s="556"/>
      <c r="T101" s="556"/>
      <c r="U101" s="556"/>
      <c r="V101" s="556"/>
      <c r="W101" s="558">
        <f>O101+Q101+S101+U101</f>
        <v>6.8</v>
      </c>
      <c r="X101" s="562">
        <f>SUM(X103)</f>
        <v>0</v>
      </c>
      <c r="Y101" s="579">
        <f t="shared" si="12"/>
        <v>6.8000000000000007</v>
      </c>
      <c r="Z101" s="559">
        <f>SUM(Z103)</f>
        <v>0</v>
      </c>
      <c r="AA101" s="572">
        <f t="shared" si="13"/>
        <v>106.47123287671232</v>
      </c>
      <c r="AB101" s="562">
        <f t="shared" si="15"/>
        <v>1402794.8659999999</v>
      </c>
      <c r="AC101" s="573">
        <f t="shared" si="14"/>
        <v>106.47123287671232</v>
      </c>
      <c r="AD101" s="558">
        <f t="shared" si="14"/>
        <v>81.321441507246377</v>
      </c>
      <c r="AE101" s="555"/>
    </row>
    <row r="102" spans="1:31" ht="48" customHeight="1" x14ac:dyDescent="0.25">
      <c r="A102" s="510"/>
      <c r="B102" s="552"/>
      <c r="C102" s="529"/>
      <c r="D102" s="513" t="s">
        <v>84</v>
      </c>
      <c r="E102" s="530"/>
      <c r="F102" s="510"/>
      <c r="G102" s="516"/>
      <c r="H102" s="515"/>
      <c r="I102" s="516"/>
      <c r="J102" s="515"/>
      <c r="K102" s="518"/>
      <c r="L102" s="522"/>
      <c r="M102" s="518"/>
      <c r="N102" s="522"/>
      <c r="O102" s="518"/>
      <c r="P102" s="520"/>
      <c r="Q102" s="738"/>
      <c r="R102" s="739"/>
      <c r="S102" s="518"/>
      <c r="T102" s="520"/>
      <c r="U102" s="518"/>
      <c r="V102" s="520"/>
      <c r="W102" s="518"/>
      <c r="X102" s="519"/>
      <c r="Y102" s="521"/>
      <c r="Z102" s="522"/>
      <c r="AA102" s="521"/>
      <c r="AB102" s="524"/>
      <c r="AC102" s="521"/>
      <c r="AD102" s="521"/>
      <c r="AE102" s="510"/>
    </row>
    <row r="103" spans="1:31" ht="72" customHeight="1" x14ac:dyDescent="0.25">
      <c r="A103" s="7">
        <v>39</v>
      </c>
      <c r="B103" s="48" t="s">
        <v>245</v>
      </c>
      <c r="C103" s="380" t="s">
        <v>194</v>
      </c>
      <c r="D103" s="6" t="s">
        <v>85</v>
      </c>
      <c r="E103" s="4" t="s">
        <v>156</v>
      </c>
      <c r="F103" s="7" t="s">
        <v>147</v>
      </c>
      <c r="G103" s="418">
        <v>3650</v>
      </c>
      <c r="H103" s="142">
        <v>1725000</v>
      </c>
      <c r="I103" s="418">
        <f>100+500+1740+1298</f>
        <v>3638</v>
      </c>
      <c r="J103" s="431">
        <f>127526+117784+399610+757874.866</f>
        <v>1402794.8659999999</v>
      </c>
      <c r="K103" s="19">
        <v>1000</v>
      </c>
      <c r="L103" s="9">
        <v>400000</v>
      </c>
      <c r="M103" s="19">
        <v>1000</v>
      </c>
      <c r="N103" s="9">
        <v>400000</v>
      </c>
      <c r="O103" s="19">
        <v>68</v>
      </c>
      <c r="P103" s="23">
        <v>0</v>
      </c>
      <c r="Q103" s="418"/>
      <c r="R103" s="681"/>
      <c r="S103" s="19"/>
      <c r="T103" s="9"/>
      <c r="U103" s="19"/>
      <c r="V103" s="9"/>
      <c r="W103" s="19">
        <f t="shared" si="11"/>
        <v>68</v>
      </c>
      <c r="X103" s="68">
        <f t="shared" si="11"/>
        <v>0</v>
      </c>
      <c r="Y103" s="410">
        <f t="shared" si="12"/>
        <v>6.8000000000000007</v>
      </c>
      <c r="Z103" s="29">
        <f t="shared" si="12"/>
        <v>0</v>
      </c>
      <c r="AA103" s="453">
        <f t="shared" si="13"/>
        <v>3706</v>
      </c>
      <c r="AB103" s="429">
        <f t="shared" si="15"/>
        <v>1402794.8659999999</v>
      </c>
      <c r="AC103" s="410">
        <f t="shared" si="14"/>
        <v>101.53424657534246</v>
      </c>
      <c r="AD103" s="410">
        <f t="shared" si="14"/>
        <v>81.321441507246377</v>
      </c>
      <c r="AE103" s="7"/>
    </row>
    <row r="104" spans="1:31" x14ac:dyDescent="0.25">
      <c r="C104" s="25"/>
      <c r="D104" s="26"/>
      <c r="E104" s="16"/>
    </row>
    <row r="105" spans="1:31" x14ac:dyDescent="0.25">
      <c r="C105" s="27"/>
      <c r="L105" s="71">
        <f>L9+L13+L16+L21+L31+L40+L62+L92+L97+L101-L13</f>
        <v>7103021.4279999994</v>
      </c>
      <c r="N105" s="74">
        <f>N9+N13+N16+N21+N31+N40+N62+N92+N97+N101</f>
        <v>10548401.100000001</v>
      </c>
      <c r="P105" s="74">
        <f>P9+P13+P16+P21+P31+P40+P62+P92+P97+P101</f>
        <v>955895.91200000001</v>
      </c>
      <c r="X105" s="74">
        <f>X9+X13+X16+X21+X31+X40+X62+X92+X97+X101</f>
        <v>955895.91200000001</v>
      </c>
    </row>
    <row r="106" spans="1:31" x14ac:dyDescent="0.25">
      <c r="C106" s="24"/>
      <c r="L106" s="444">
        <v>7103021.4280000003</v>
      </c>
      <c r="N106" s="608">
        <v>10548401.1</v>
      </c>
    </row>
    <row r="108" spans="1:31" x14ac:dyDescent="0.25">
      <c r="L108" s="446">
        <f>L105-L106</f>
        <v>0</v>
      </c>
      <c r="N108" s="31">
        <f>N106-N105</f>
        <v>0</v>
      </c>
    </row>
    <row r="110" spans="1:31" x14ac:dyDescent="0.25">
      <c r="L110" s="445">
        <f>L105-L13</f>
        <v>3644731.6879999992</v>
      </c>
    </row>
  </sheetData>
  <mergeCells count="32">
    <mergeCell ref="G8:H8"/>
    <mergeCell ref="I8:J8"/>
    <mergeCell ref="K8:N8"/>
    <mergeCell ref="O8:P8"/>
    <mergeCell ref="Q8:R8"/>
    <mergeCell ref="S8:T8"/>
    <mergeCell ref="AA4:AB6"/>
    <mergeCell ref="AC4:AD6"/>
    <mergeCell ref="AE4:AE7"/>
    <mergeCell ref="O5:P6"/>
    <mergeCell ref="Q5:R6"/>
    <mergeCell ref="S5:T6"/>
    <mergeCell ref="U5:V6"/>
    <mergeCell ref="Y4:Z6"/>
    <mergeCell ref="U8:V8"/>
    <mergeCell ref="W8:X8"/>
    <mergeCell ref="Y8:Z8"/>
    <mergeCell ref="AA8:AB8"/>
    <mergeCell ref="AC8:AD8"/>
    <mergeCell ref="A1:AE1"/>
    <mergeCell ref="A2:AE2"/>
    <mergeCell ref="F4:F7"/>
    <mergeCell ref="A4:A7"/>
    <mergeCell ref="B4:B7"/>
    <mergeCell ref="C4:C7"/>
    <mergeCell ref="D4:D7"/>
    <mergeCell ref="E4:E7"/>
    <mergeCell ref="G4:H6"/>
    <mergeCell ref="I4:J6"/>
    <mergeCell ref="K4:N6"/>
    <mergeCell ref="O4:V4"/>
    <mergeCell ref="W4:X6"/>
  </mergeCells>
  <printOptions horizontalCentered="1"/>
  <pageMargins left="0.19685039370078741" right="0.19685039370078741" top="0" bottom="0" header="0.31496062992125984" footer="0.31496062992125984"/>
  <pageSetup paperSize="14" scale="35" fitToHeight="0" orientation="landscape" r:id="rId1"/>
  <rowBreaks count="3" manualBreakCount="3">
    <brk id="35" max="30" man="1"/>
    <brk id="61" max="30" man="1"/>
    <brk id="84" max="30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O147"/>
  <sheetViews>
    <sheetView showGridLines="0" topLeftCell="B1" zoomScale="64" zoomScaleNormal="64" workbookViewId="0">
      <pane ySplit="8" topLeftCell="A27" activePane="bottomLeft" state="frozen"/>
      <selection pane="bottomLeft" activeCell="P124" sqref="P124"/>
    </sheetView>
  </sheetViews>
  <sheetFormatPr defaultColWidth="9.140625" defaultRowHeight="12.75" x14ac:dyDescent="0.25"/>
  <cols>
    <col min="1" max="1" width="4.7109375" style="8" customWidth="1"/>
    <col min="2" max="2" width="18.42578125" style="53" customWidth="1"/>
    <col min="3" max="3" width="30.7109375" style="16" customWidth="1"/>
    <col min="4" max="4" width="30.7109375" style="766" customWidth="1"/>
    <col min="5" max="5" width="30.7109375" style="53" customWidth="1"/>
    <col min="6" max="6" width="11.7109375" style="8" customWidth="1"/>
    <col min="7" max="7" width="9.140625" style="20" customWidth="1"/>
    <col min="8" max="8" width="15.42578125" style="10" customWidth="1"/>
    <col min="9" max="9" width="9.140625" style="20" customWidth="1"/>
    <col min="10" max="10" width="15.42578125" style="10" customWidth="1"/>
    <col min="11" max="11" width="9.5703125" style="20" customWidth="1"/>
    <col min="12" max="12" width="16.28515625" style="31" customWidth="1"/>
    <col min="13" max="13" width="9.140625" style="20"/>
    <col min="14" max="14" width="17.5703125" style="31" customWidth="1"/>
    <col min="15" max="15" width="15.7109375" style="31" customWidth="1"/>
    <col min="16" max="16" width="8.42578125" style="20" customWidth="1"/>
    <col min="17" max="17" width="15.140625" style="10" customWidth="1"/>
    <col min="18" max="18" width="9.140625" style="20" customWidth="1"/>
    <col min="19" max="19" width="17.5703125" style="10" customWidth="1"/>
    <col min="20" max="20" width="9.140625" style="20" customWidth="1"/>
    <col min="21" max="21" width="16.85546875" style="10" customWidth="1"/>
    <col min="22" max="22" width="9.140625" style="20" customWidth="1"/>
    <col min="23" max="23" width="15.42578125" style="10" customWidth="1"/>
    <col min="24" max="24" width="11.42578125" style="20" customWidth="1"/>
    <col min="25" max="25" width="17.5703125" style="10" customWidth="1"/>
    <col min="26" max="26" width="8.28515625" style="20" customWidth="1"/>
    <col min="27" max="27" width="11.28515625" style="10" customWidth="1"/>
    <col min="28" max="28" width="10" style="20" customWidth="1"/>
    <col min="29" max="29" width="16.5703125" style="10" customWidth="1"/>
    <col min="30" max="30" width="10.7109375" style="20" customWidth="1"/>
    <col min="31" max="31" width="9" style="10" customWidth="1"/>
    <col min="32" max="32" width="12.5703125" style="8" customWidth="1"/>
    <col min="33" max="33" width="3.28515625" style="53" customWidth="1"/>
    <col min="34" max="35" width="14.7109375" style="53" hidden="1" customWidth="1"/>
    <col min="36" max="36" width="15.28515625" style="53" hidden="1" customWidth="1"/>
    <col min="37" max="38" width="14.7109375" style="53" hidden="1" customWidth="1"/>
    <col min="39" max="39" width="0" style="53" hidden="1" customWidth="1"/>
    <col min="40" max="16384" width="9.140625" style="53"/>
  </cols>
  <sheetData>
    <row r="1" spans="1:39" ht="15.75" x14ac:dyDescent="0.25">
      <c r="A1" s="1060" t="s">
        <v>424</v>
      </c>
      <c r="B1" s="1060"/>
      <c r="C1" s="1060"/>
      <c r="D1" s="1060"/>
      <c r="E1" s="1060"/>
      <c r="F1" s="1060"/>
      <c r="G1" s="1060"/>
      <c r="H1" s="1060"/>
      <c r="I1" s="1060"/>
      <c r="J1" s="1060"/>
      <c r="K1" s="1060"/>
      <c r="L1" s="1060"/>
      <c r="M1" s="1060"/>
      <c r="N1" s="1060"/>
      <c r="O1" s="1060"/>
      <c r="P1" s="1060"/>
      <c r="Q1" s="1060"/>
      <c r="R1" s="1060"/>
      <c r="S1" s="1060"/>
      <c r="T1" s="1060"/>
      <c r="U1" s="1060"/>
      <c r="V1" s="1060"/>
      <c r="W1" s="1060"/>
      <c r="X1" s="1060"/>
      <c r="Y1" s="1060"/>
      <c r="Z1" s="1060"/>
      <c r="AA1" s="1060"/>
      <c r="AB1" s="1060"/>
      <c r="AC1" s="1060"/>
      <c r="AD1" s="1060"/>
      <c r="AE1" s="1060"/>
      <c r="AF1" s="1060"/>
    </row>
    <row r="2" spans="1:39" ht="15.75" x14ac:dyDescent="0.25">
      <c r="A2" s="1060" t="s">
        <v>425</v>
      </c>
      <c r="B2" s="1060"/>
      <c r="C2" s="1060"/>
      <c r="D2" s="1060"/>
      <c r="E2" s="1060"/>
      <c r="F2" s="1060"/>
      <c r="G2" s="1060"/>
      <c r="H2" s="1060"/>
      <c r="I2" s="1060"/>
      <c r="J2" s="1060"/>
      <c r="K2" s="1060"/>
      <c r="L2" s="1060"/>
      <c r="M2" s="1060"/>
      <c r="N2" s="1060"/>
      <c r="O2" s="1060"/>
      <c r="P2" s="1060"/>
      <c r="Q2" s="1060"/>
      <c r="R2" s="1060"/>
      <c r="S2" s="1060"/>
      <c r="T2" s="1060"/>
      <c r="U2" s="1060"/>
      <c r="V2" s="1060"/>
      <c r="W2" s="1060"/>
      <c r="X2" s="1060"/>
      <c r="Y2" s="1060"/>
      <c r="Z2" s="1060"/>
      <c r="AA2" s="1060"/>
      <c r="AB2" s="1060"/>
      <c r="AC2" s="1060"/>
      <c r="AD2" s="1060"/>
      <c r="AE2" s="1060"/>
      <c r="AF2" s="1060"/>
    </row>
    <row r="4" spans="1:39" s="402" customFormat="1" ht="12.95" customHeight="1" x14ac:dyDescent="0.25">
      <c r="A4" s="1026" t="s">
        <v>0</v>
      </c>
      <c r="B4" s="1026" t="s">
        <v>269</v>
      </c>
      <c r="C4" s="996" t="s">
        <v>30</v>
      </c>
      <c r="D4" s="1026" t="s">
        <v>253</v>
      </c>
      <c r="E4" s="1026" t="s">
        <v>21</v>
      </c>
      <c r="F4" s="1026" t="s">
        <v>1</v>
      </c>
      <c r="G4" s="1005" t="s">
        <v>2</v>
      </c>
      <c r="H4" s="1006"/>
      <c r="I4" s="996" t="s">
        <v>17</v>
      </c>
      <c r="J4" s="997"/>
      <c r="K4" s="996" t="s">
        <v>12</v>
      </c>
      <c r="L4" s="1002"/>
      <c r="M4" s="1002"/>
      <c r="N4" s="1002"/>
      <c r="O4" s="997"/>
      <c r="P4" s="1023" t="s">
        <v>189</v>
      </c>
      <c r="Q4" s="1024"/>
      <c r="R4" s="1024"/>
      <c r="S4" s="1024"/>
      <c r="T4" s="1024"/>
      <c r="U4" s="1024"/>
      <c r="V4" s="1024"/>
      <c r="W4" s="1025"/>
      <c r="X4" s="996" t="s">
        <v>13</v>
      </c>
      <c r="Y4" s="997"/>
      <c r="Z4" s="996" t="s">
        <v>14</v>
      </c>
      <c r="AA4" s="997"/>
      <c r="AB4" s="996" t="s">
        <v>15</v>
      </c>
      <c r="AC4" s="997"/>
      <c r="AD4" s="1017" t="s">
        <v>16</v>
      </c>
      <c r="AE4" s="1017"/>
      <c r="AF4" s="1018" t="s">
        <v>3</v>
      </c>
    </row>
    <row r="5" spans="1:39" s="402" customFormat="1" x14ac:dyDescent="0.25">
      <c r="A5" s="1027"/>
      <c r="B5" s="1027"/>
      <c r="C5" s="998"/>
      <c r="D5" s="1027"/>
      <c r="E5" s="1027"/>
      <c r="F5" s="1027"/>
      <c r="G5" s="1007"/>
      <c r="H5" s="1008"/>
      <c r="I5" s="998"/>
      <c r="J5" s="999"/>
      <c r="K5" s="998"/>
      <c r="L5" s="1003"/>
      <c r="M5" s="1003"/>
      <c r="N5" s="1003"/>
      <c r="O5" s="999"/>
      <c r="P5" s="996" t="s">
        <v>4</v>
      </c>
      <c r="Q5" s="997"/>
      <c r="R5" s="996" t="s">
        <v>5</v>
      </c>
      <c r="S5" s="997"/>
      <c r="T5" s="996" t="s">
        <v>6</v>
      </c>
      <c r="U5" s="997"/>
      <c r="V5" s="1019" t="s">
        <v>7</v>
      </c>
      <c r="W5" s="1020"/>
      <c r="X5" s="998"/>
      <c r="Y5" s="999"/>
      <c r="Z5" s="998"/>
      <c r="AA5" s="999"/>
      <c r="AB5" s="998"/>
      <c r="AC5" s="999"/>
      <c r="AD5" s="1017"/>
      <c r="AE5" s="1017"/>
      <c r="AF5" s="1018"/>
    </row>
    <row r="6" spans="1:39" s="402" customFormat="1" ht="98.25" customHeight="1" x14ac:dyDescent="0.25">
      <c r="A6" s="1027"/>
      <c r="B6" s="1027"/>
      <c r="C6" s="998"/>
      <c r="D6" s="1027"/>
      <c r="E6" s="1027"/>
      <c r="F6" s="1027"/>
      <c r="G6" s="1009"/>
      <c r="H6" s="1010"/>
      <c r="I6" s="1000"/>
      <c r="J6" s="1001"/>
      <c r="K6" s="1000"/>
      <c r="L6" s="1004"/>
      <c r="M6" s="1004"/>
      <c r="N6" s="1004"/>
      <c r="O6" s="1001"/>
      <c r="P6" s="1000"/>
      <c r="Q6" s="1001"/>
      <c r="R6" s="1000"/>
      <c r="S6" s="1001"/>
      <c r="T6" s="1000"/>
      <c r="U6" s="1001"/>
      <c r="V6" s="1021"/>
      <c r="W6" s="1022"/>
      <c r="X6" s="1000"/>
      <c r="Y6" s="1001"/>
      <c r="Z6" s="1000"/>
      <c r="AA6" s="1001"/>
      <c r="AB6" s="1000"/>
      <c r="AC6" s="1001"/>
      <c r="AD6" s="1017"/>
      <c r="AE6" s="1017"/>
      <c r="AF6" s="1018"/>
    </row>
    <row r="7" spans="1:39" s="402" customFormat="1" ht="39" customHeight="1" x14ac:dyDescent="0.25">
      <c r="A7" s="1028"/>
      <c r="B7" s="1028"/>
      <c r="C7" s="1000"/>
      <c r="D7" s="1028"/>
      <c r="E7" s="1028"/>
      <c r="F7" s="1028"/>
      <c r="G7" s="216" t="s">
        <v>8</v>
      </c>
      <c r="H7" s="11" t="s">
        <v>9</v>
      </c>
      <c r="I7" s="216" t="s">
        <v>8</v>
      </c>
      <c r="J7" s="11" t="s">
        <v>9</v>
      </c>
      <c r="K7" s="216" t="s">
        <v>8</v>
      </c>
      <c r="L7" s="30" t="s">
        <v>10</v>
      </c>
      <c r="M7" s="216" t="s">
        <v>8</v>
      </c>
      <c r="N7" s="30" t="s">
        <v>11</v>
      </c>
      <c r="O7" s="30" t="s">
        <v>440</v>
      </c>
      <c r="P7" s="216" t="s">
        <v>8</v>
      </c>
      <c r="Q7" s="11" t="s">
        <v>9</v>
      </c>
      <c r="R7" s="216" t="s">
        <v>8</v>
      </c>
      <c r="S7" s="11" t="s">
        <v>9</v>
      </c>
      <c r="T7" s="216" t="s">
        <v>8</v>
      </c>
      <c r="U7" s="11" t="s">
        <v>9</v>
      </c>
      <c r="V7" s="371" t="s">
        <v>8</v>
      </c>
      <c r="W7" s="12" t="s">
        <v>9</v>
      </c>
      <c r="X7" s="216" t="s">
        <v>8</v>
      </c>
      <c r="Y7" s="11" t="s">
        <v>9</v>
      </c>
      <c r="Z7" s="2" t="s">
        <v>8</v>
      </c>
      <c r="AA7" s="11" t="s">
        <v>9</v>
      </c>
      <c r="AB7" s="216" t="s">
        <v>8</v>
      </c>
      <c r="AC7" s="11" t="s">
        <v>9</v>
      </c>
      <c r="AD7" s="216" t="s">
        <v>8</v>
      </c>
      <c r="AE7" s="11" t="s">
        <v>9</v>
      </c>
      <c r="AF7" s="1018"/>
      <c r="AL7" s="447" t="e">
        <f>#REF!</f>
        <v>#REF!</v>
      </c>
    </row>
    <row r="8" spans="1:39" s="403" customFormat="1" x14ac:dyDescent="0.25">
      <c r="A8" s="465">
        <v>1</v>
      </c>
      <c r="B8" s="465">
        <v>2</v>
      </c>
      <c r="C8" s="820">
        <v>3</v>
      </c>
      <c r="D8" s="467">
        <v>4</v>
      </c>
      <c r="E8" s="467">
        <v>5</v>
      </c>
      <c r="F8" s="468">
        <v>6</v>
      </c>
      <c r="G8" s="1061">
        <v>7</v>
      </c>
      <c r="H8" s="1062"/>
      <c r="I8" s="1061">
        <v>8</v>
      </c>
      <c r="J8" s="1062"/>
      <c r="K8" s="1061">
        <v>9</v>
      </c>
      <c r="L8" s="1066"/>
      <c r="M8" s="1066"/>
      <c r="N8" s="1062"/>
      <c r="O8" s="876"/>
      <c r="P8" s="1061">
        <v>10</v>
      </c>
      <c r="Q8" s="1062"/>
      <c r="R8" s="1061">
        <v>11</v>
      </c>
      <c r="S8" s="1062"/>
      <c r="T8" s="1061">
        <v>12</v>
      </c>
      <c r="U8" s="1062"/>
      <c r="V8" s="1063">
        <v>13</v>
      </c>
      <c r="W8" s="1064"/>
      <c r="X8" s="1061" t="s">
        <v>18</v>
      </c>
      <c r="Y8" s="1062"/>
      <c r="Z8" s="1061" t="s">
        <v>19</v>
      </c>
      <c r="AA8" s="1062"/>
      <c r="AB8" s="1061" t="s">
        <v>423</v>
      </c>
      <c r="AC8" s="1062"/>
      <c r="AD8" s="1065" t="s">
        <v>20</v>
      </c>
      <c r="AE8" s="1065"/>
      <c r="AF8" s="469">
        <v>18</v>
      </c>
      <c r="AH8" s="403">
        <v>2017</v>
      </c>
      <c r="AI8" s="403">
        <v>2018</v>
      </c>
      <c r="AJ8" s="403">
        <v>2019</v>
      </c>
      <c r="AK8" s="403">
        <v>2020</v>
      </c>
    </row>
    <row r="9" spans="1:39" s="376" customFormat="1" ht="55.5" customHeight="1" x14ac:dyDescent="0.25">
      <c r="A9" s="553" t="s">
        <v>4</v>
      </c>
      <c r="B9" s="461" t="s">
        <v>219</v>
      </c>
      <c r="C9" s="821" t="s">
        <v>185</v>
      </c>
      <c r="D9" s="463" t="s">
        <v>34</v>
      </c>
      <c r="E9" s="554" t="s">
        <v>86</v>
      </c>
      <c r="F9" s="555" t="s">
        <v>93</v>
      </c>
      <c r="G9" s="556">
        <v>100</v>
      </c>
      <c r="H9" s="557">
        <f>H11+H12</f>
        <v>185000</v>
      </c>
      <c r="I9" s="558">
        <f>(I11+I12)/(G11+G12)*100</f>
        <v>69.230769230769226</v>
      </c>
      <c r="J9" s="559">
        <f>J11+J12</f>
        <v>61171.930000000008</v>
      </c>
      <c r="K9" s="556">
        <v>100</v>
      </c>
      <c r="L9" s="559">
        <f>L11+L12</f>
        <v>23084.95</v>
      </c>
      <c r="M9" s="556">
        <v>100</v>
      </c>
      <c r="N9" s="559">
        <f>N11+N12</f>
        <v>23084.95</v>
      </c>
      <c r="O9" s="559">
        <f>O11+O12</f>
        <v>23084.95</v>
      </c>
      <c r="P9" s="558">
        <f>1/3*100</f>
        <v>33.333333333333329</v>
      </c>
      <c r="Q9" s="559">
        <f>Q11+Q12</f>
        <v>3973.4500000000003</v>
      </c>
      <c r="R9" s="806">
        <v>15</v>
      </c>
      <c r="S9" s="873">
        <f>SUM(S11:S12)</f>
        <v>4269.8999999999996</v>
      </c>
      <c r="T9" s="806">
        <v>18</v>
      </c>
      <c r="U9" s="873">
        <f>SUM(U11:U12)</f>
        <v>1050</v>
      </c>
      <c r="V9" s="873">
        <f>SUM(V11:V12)</f>
        <v>0</v>
      </c>
      <c r="W9" s="873">
        <f>SUM(W11:W12)</f>
        <v>0</v>
      </c>
      <c r="X9" s="558">
        <f>P9+R9+T9+V9</f>
        <v>66.333333333333329</v>
      </c>
      <c r="Y9" s="562">
        <f>Q9+S9+U9+W9</f>
        <v>9293.35</v>
      </c>
      <c r="Z9" s="558">
        <f>X9/M9*100</f>
        <v>66.333333333333329</v>
      </c>
      <c r="AA9" s="559">
        <f>Y9/N9*100</f>
        <v>40.2571805440341</v>
      </c>
      <c r="AB9" s="558">
        <f>I9+X9</f>
        <v>135.56410256410254</v>
      </c>
      <c r="AC9" s="559">
        <f>J9+Y9</f>
        <v>70465.280000000013</v>
      </c>
      <c r="AD9" s="563">
        <f>AB9/G9*100</f>
        <v>135.56410256410254</v>
      </c>
      <c r="AE9" s="564">
        <f>AC9/H9*100</f>
        <v>38.089340540540547</v>
      </c>
      <c r="AF9" s="553" t="s">
        <v>428</v>
      </c>
      <c r="AH9" s="443">
        <f ca="1">SUM(AH9:AH16)</f>
        <v>1175847</v>
      </c>
      <c r="AI9" s="443">
        <f ca="1">SUM(AI9:AI16)</f>
        <v>2093309</v>
      </c>
      <c r="AJ9" s="443">
        <f ca="1">SUM(AJ9:AJ16)</f>
        <v>1991868.5000000002</v>
      </c>
      <c r="AK9" s="443">
        <f ca="1">SUM(AK9:AK16)</f>
        <v>27601171.324000001</v>
      </c>
      <c r="AL9" s="443">
        <f ca="1">SUM(AH9:AK9)</f>
        <v>26313144.414000001</v>
      </c>
      <c r="AM9" s="603" t="e">
        <f ca="1">AL9-AL7</f>
        <v>#REF!</v>
      </c>
    </row>
    <row r="10" spans="1:39" ht="73.5" customHeight="1" x14ac:dyDescent="0.25">
      <c r="A10" s="510"/>
      <c r="B10" s="511"/>
      <c r="C10" s="822"/>
      <c r="D10" s="513" t="s">
        <v>35</v>
      </c>
      <c r="E10" s="512" t="s">
        <v>436</v>
      </c>
      <c r="F10" s="531" t="s">
        <v>439</v>
      </c>
      <c r="G10" s="536"/>
      <c r="H10" s="536"/>
      <c r="I10" s="535"/>
      <c r="J10" s="537"/>
      <c r="K10" s="538">
        <f>SUM(K11:K12)</f>
        <v>3</v>
      </c>
      <c r="L10" s="862">
        <f t="shared" ref="L10:AA10" si="0">SUM(L11:L12)</f>
        <v>23084.95</v>
      </c>
      <c r="M10" s="538">
        <f t="shared" si="0"/>
        <v>3</v>
      </c>
      <c r="N10" s="862">
        <f t="shared" si="0"/>
        <v>23084.95</v>
      </c>
      <c r="O10" s="862">
        <f t="shared" si="0"/>
        <v>23084.95</v>
      </c>
      <c r="P10" s="538">
        <f t="shared" si="0"/>
        <v>1</v>
      </c>
      <c r="Q10" s="862">
        <f t="shared" si="0"/>
        <v>3973.4500000000003</v>
      </c>
      <c r="R10" s="538">
        <f t="shared" si="0"/>
        <v>0</v>
      </c>
      <c r="S10" s="861">
        <f t="shared" si="0"/>
        <v>4269.8999999999996</v>
      </c>
      <c r="T10" s="538">
        <f t="shared" si="0"/>
        <v>1</v>
      </c>
      <c r="U10" s="861">
        <f t="shared" si="0"/>
        <v>1050</v>
      </c>
      <c r="V10" s="861">
        <f t="shared" si="0"/>
        <v>0</v>
      </c>
      <c r="W10" s="861">
        <f t="shared" si="0"/>
        <v>0</v>
      </c>
      <c r="X10" s="538">
        <f t="shared" si="0"/>
        <v>2</v>
      </c>
      <c r="Y10" s="538">
        <f t="shared" si="0"/>
        <v>9293.35</v>
      </c>
      <c r="Z10" s="538">
        <f t="shared" si="0"/>
        <v>100</v>
      </c>
      <c r="AA10" s="538">
        <f t="shared" si="0"/>
        <v>86.103471684053687</v>
      </c>
      <c r="AB10" s="538"/>
      <c r="AC10" s="538"/>
      <c r="AD10" s="538"/>
      <c r="AE10" s="538"/>
      <c r="AF10" s="538"/>
      <c r="AK10" s="452">
        <f>+'RIIL TW IV PERBAIKAN'!J12+'RIIL TW IV PERBAIKAN'!J20+'RIIL TW IV PERBAIKAN'!J26+'RIIL TW IV PERBAIKAN'!J28+'RIIL TW IV PERBAIKAN'!J64+'RIIL TW IV PERBAIKAN'!Y12+'RIIL TW IV PERBAIKAN'!Y20+'RIIL TW IV PERBAIKAN'!Y26+'RIIL TW IV PERBAIKAN'!Y28+'RIIL TW IV PERBAIKAN'!Y64</f>
        <v>6475271.7800000003</v>
      </c>
      <c r="AL10" s="451">
        <v>6475271.7800000003</v>
      </c>
    </row>
    <row r="11" spans="1:39" ht="46.5" customHeight="1" x14ac:dyDescent="0.25">
      <c r="A11" s="7">
        <v>1</v>
      </c>
      <c r="B11" s="384" t="s">
        <v>220</v>
      </c>
      <c r="C11" s="381" t="s">
        <v>184</v>
      </c>
      <c r="D11" s="6" t="s">
        <v>36</v>
      </c>
      <c r="E11" s="4" t="s">
        <v>456</v>
      </c>
      <c r="F11" s="7" t="s">
        <v>95</v>
      </c>
      <c r="G11" s="418">
        <v>10</v>
      </c>
      <c r="H11" s="142">
        <f>15000+45000+50000+15000</f>
        <v>125000</v>
      </c>
      <c r="I11" s="418">
        <f>3+2+3</f>
        <v>8</v>
      </c>
      <c r="J11" s="420">
        <f>0+14999+9892.3+14114.14+10517.15</f>
        <v>49522.590000000004</v>
      </c>
      <c r="K11" s="19">
        <v>2</v>
      </c>
      <c r="L11" s="75">
        <v>8085.05</v>
      </c>
      <c r="M11" s="19">
        <v>2</v>
      </c>
      <c r="N11" s="29">
        <v>8085.05</v>
      </c>
      <c r="O11" s="29">
        <v>8085.05</v>
      </c>
      <c r="P11" s="19">
        <v>1</v>
      </c>
      <c r="Q11" s="29">
        <v>3475.15</v>
      </c>
      <c r="R11" s="805">
        <v>0</v>
      </c>
      <c r="S11" s="76">
        <v>759.9</v>
      </c>
      <c r="T11" s="19">
        <v>1</v>
      </c>
      <c r="U11" s="9">
        <v>0</v>
      </c>
      <c r="V11" s="19"/>
      <c r="W11" s="9"/>
      <c r="X11" s="19">
        <f t="shared" ref="X11:Y76" si="1">P11+R11+T11+V11</f>
        <v>2</v>
      </c>
      <c r="Y11" s="68">
        <f t="shared" si="1"/>
        <v>4235.05</v>
      </c>
      <c r="Z11" s="410">
        <f t="shared" ref="Z11:AA13" si="2">X11/M11*100</f>
        <v>100</v>
      </c>
      <c r="AA11" s="29">
        <f t="shared" si="2"/>
        <v>52.381246869221584</v>
      </c>
      <c r="AB11" s="455">
        <f>I11+X11</f>
        <v>10</v>
      </c>
      <c r="AC11" s="431">
        <f t="shared" ref="AC11:AC81" si="3">Y11+J11</f>
        <v>53757.640000000007</v>
      </c>
      <c r="AD11" s="433">
        <f t="shared" ref="AD11:AE13" si="4">AB11/G11*100</f>
        <v>100</v>
      </c>
      <c r="AE11" s="420">
        <f t="shared" si="4"/>
        <v>43.006112000000009</v>
      </c>
      <c r="AF11" s="7"/>
    </row>
    <row r="12" spans="1:39" ht="43.5" customHeight="1" x14ac:dyDescent="0.25">
      <c r="A12" s="7">
        <v>2</v>
      </c>
      <c r="B12" s="384" t="s">
        <v>221</v>
      </c>
      <c r="C12" s="381" t="s">
        <v>186</v>
      </c>
      <c r="D12" s="6" t="s">
        <v>37</v>
      </c>
      <c r="E12" s="4" t="s">
        <v>88</v>
      </c>
      <c r="F12" s="7" t="s">
        <v>95</v>
      </c>
      <c r="G12" s="418">
        <v>3</v>
      </c>
      <c r="H12" s="142">
        <v>60000</v>
      </c>
      <c r="I12" s="418">
        <v>1</v>
      </c>
      <c r="J12" s="420">
        <v>11649.34</v>
      </c>
      <c r="K12" s="19">
        <v>1</v>
      </c>
      <c r="L12" s="76">
        <v>14999.9</v>
      </c>
      <c r="M12" s="19">
        <v>1</v>
      </c>
      <c r="N12" s="23">
        <v>14999.9</v>
      </c>
      <c r="O12" s="23">
        <v>14999.9</v>
      </c>
      <c r="P12" s="19">
        <v>0</v>
      </c>
      <c r="Q12" s="23">
        <v>498.3</v>
      </c>
      <c r="R12" s="805">
        <v>0</v>
      </c>
      <c r="S12" s="284">
        <f>4008.3-Q12</f>
        <v>3510</v>
      </c>
      <c r="T12" s="19">
        <v>0</v>
      </c>
      <c r="U12" s="9">
        <v>1050</v>
      </c>
      <c r="V12" s="19"/>
      <c r="W12" s="9"/>
      <c r="X12" s="19">
        <f t="shared" si="1"/>
        <v>0</v>
      </c>
      <c r="Y12" s="68">
        <f t="shared" si="1"/>
        <v>5058.3</v>
      </c>
      <c r="Z12" s="410">
        <f t="shared" si="2"/>
        <v>0</v>
      </c>
      <c r="AA12" s="29">
        <f>Y12/N12*100</f>
        <v>33.722224814832103</v>
      </c>
      <c r="AB12" s="455">
        <f>I12+X12</f>
        <v>1</v>
      </c>
      <c r="AC12" s="431">
        <f t="shared" si="3"/>
        <v>16707.64</v>
      </c>
      <c r="AD12" s="433">
        <f t="shared" si="4"/>
        <v>33.333333333333329</v>
      </c>
      <c r="AE12" s="420">
        <f t="shared" si="4"/>
        <v>27.846066666666662</v>
      </c>
      <c r="AF12" s="7"/>
    </row>
    <row r="13" spans="1:39" s="376" customFormat="1" ht="49.5" customHeight="1" x14ac:dyDescent="0.25">
      <c r="A13" s="553"/>
      <c r="B13" s="461"/>
      <c r="C13" s="821"/>
      <c r="D13" s="463" t="s">
        <v>34</v>
      </c>
      <c r="E13" s="554" t="s">
        <v>268</v>
      </c>
      <c r="F13" s="555" t="s">
        <v>93</v>
      </c>
      <c r="G13" s="556"/>
      <c r="H13" s="557"/>
      <c r="I13" s="565"/>
      <c r="J13" s="562"/>
      <c r="K13" s="556">
        <v>0</v>
      </c>
      <c r="L13" s="557">
        <v>0</v>
      </c>
      <c r="M13" s="556">
        <v>100</v>
      </c>
      <c r="N13" s="559">
        <f>N15</f>
        <v>3458289.74</v>
      </c>
      <c r="O13" s="562">
        <f>O15</f>
        <v>3332336.8369999998</v>
      </c>
      <c r="P13" s="556">
        <v>25</v>
      </c>
      <c r="Q13" s="562">
        <f>Q15</f>
        <v>636785.30599999998</v>
      </c>
      <c r="R13" s="569">
        <v>25</v>
      </c>
      <c r="S13" s="574">
        <f>SUM(S15)</f>
        <v>1001475.971</v>
      </c>
      <c r="T13" s="569">
        <v>25</v>
      </c>
      <c r="U13" s="872">
        <f>SUM(U15)</f>
        <v>695093.35600000003</v>
      </c>
      <c r="V13" s="872">
        <f>SUM(V15)</f>
        <v>0</v>
      </c>
      <c r="W13" s="872">
        <f>SUM(W15)</f>
        <v>0</v>
      </c>
      <c r="X13" s="556">
        <f>P13+R13+T13+V13</f>
        <v>75</v>
      </c>
      <c r="Y13" s="562">
        <f>Q13+S13+U13+W13</f>
        <v>2333354.6329999999</v>
      </c>
      <c r="Z13" s="558">
        <f t="shared" si="2"/>
        <v>75</v>
      </c>
      <c r="AA13" s="559">
        <f t="shared" si="2"/>
        <v>67.471345908686061</v>
      </c>
      <c r="AB13" s="558">
        <f>I13+X13</f>
        <v>75</v>
      </c>
      <c r="AC13" s="562">
        <f>J13+Y13</f>
        <v>2333354.6329999999</v>
      </c>
      <c r="AD13" s="563" t="e">
        <f t="shared" si="4"/>
        <v>#DIV/0!</v>
      </c>
      <c r="AE13" s="564" t="e">
        <f t="shared" si="4"/>
        <v>#DIV/0!</v>
      </c>
      <c r="AF13" s="553"/>
      <c r="AH13" s="439"/>
      <c r="AI13" s="439">
        <v>22500</v>
      </c>
      <c r="AJ13" s="439">
        <v>54815</v>
      </c>
      <c r="AK13" s="439">
        <v>0</v>
      </c>
    </row>
    <row r="14" spans="1:39" ht="50.25" customHeight="1" x14ac:dyDescent="0.25">
      <c r="A14" s="510"/>
      <c r="B14" s="526"/>
      <c r="C14" s="823"/>
      <c r="D14" s="513" t="s">
        <v>38</v>
      </c>
      <c r="E14" s="512" t="s">
        <v>437</v>
      </c>
      <c r="F14" s="531" t="s">
        <v>444</v>
      </c>
      <c r="G14" s="516"/>
      <c r="H14" s="515"/>
      <c r="I14" s="516"/>
      <c r="J14" s="517"/>
      <c r="K14" s="518"/>
      <c r="L14" s="539"/>
      <c r="M14" s="538">
        <f>SUM(M15)</f>
        <v>12</v>
      </c>
      <c r="N14" s="862">
        <f t="shared" ref="N14:AA14" si="5">SUM(N15)</f>
        <v>3458289.74</v>
      </c>
      <c r="O14" s="863">
        <f t="shared" si="5"/>
        <v>3332336.8369999998</v>
      </c>
      <c r="P14" s="538">
        <f t="shared" si="5"/>
        <v>3</v>
      </c>
      <c r="Q14" s="863">
        <f t="shared" si="5"/>
        <v>636785.30599999998</v>
      </c>
      <c r="R14" s="538">
        <f t="shared" si="5"/>
        <v>3</v>
      </c>
      <c r="S14" s="863">
        <f t="shared" si="5"/>
        <v>1001475.971</v>
      </c>
      <c r="T14" s="538">
        <f t="shared" si="5"/>
        <v>3</v>
      </c>
      <c r="U14" s="863">
        <f t="shared" si="5"/>
        <v>695093.35600000003</v>
      </c>
      <c r="V14" s="863">
        <f t="shared" si="5"/>
        <v>0</v>
      </c>
      <c r="W14" s="863">
        <f t="shared" si="5"/>
        <v>0</v>
      </c>
      <c r="X14" s="538">
        <f t="shared" si="5"/>
        <v>9</v>
      </c>
      <c r="Y14" s="863">
        <f t="shared" si="5"/>
        <v>2333354.6329999999</v>
      </c>
      <c r="Z14" s="538">
        <f t="shared" si="5"/>
        <v>75</v>
      </c>
      <c r="AA14" s="538">
        <f t="shared" si="5"/>
        <v>67.471345908686061</v>
      </c>
      <c r="AB14" s="523"/>
      <c r="AC14" s="520"/>
      <c r="AD14" s="525"/>
      <c r="AE14" s="522"/>
      <c r="AF14" s="510"/>
    </row>
    <row r="15" spans="1:39" ht="36" customHeight="1" x14ac:dyDescent="0.25">
      <c r="A15" s="7">
        <v>3</v>
      </c>
      <c r="B15" s="385"/>
      <c r="C15" s="382"/>
      <c r="D15" s="6" t="s">
        <v>39</v>
      </c>
      <c r="E15" s="4" t="s">
        <v>89</v>
      </c>
      <c r="F15" s="7" t="s">
        <v>94</v>
      </c>
      <c r="G15" s="372"/>
      <c r="H15" s="373"/>
      <c r="I15" s="372"/>
      <c r="J15" s="422"/>
      <c r="K15" s="19"/>
      <c r="L15" s="29"/>
      <c r="M15" s="19">
        <v>12</v>
      </c>
      <c r="N15" s="29">
        <v>3458289.74</v>
      </c>
      <c r="O15" s="68">
        <v>3332336.8369999998</v>
      </c>
      <c r="P15" s="19">
        <v>3</v>
      </c>
      <c r="Q15" s="68">
        <v>636785.30599999998</v>
      </c>
      <c r="R15" s="805">
        <v>3</v>
      </c>
      <c r="S15" s="808">
        <f>1638261.277-Q15</f>
        <v>1001475.971</v>
      </c>
      <c r="T15" s="805">
        <v>3</v>
      </c>
      <c r="U15" s="808">
        <f>2333354.633-Q15-S15</f>
        <v>695093.35600000003</v>
      </c>
      <c r="V15" s="19"/>
      <c r="W15" s="9"/>
      <c r="X15" s="19">
        <f t="shared" si="1"/>
        <v>9</v>
      </c>
      <c r="Y15" s="68">
        <f t="shared" si="1"/>
        <v>2333354.6329999999</v>
      </c>
      <c r="Z15" s="410">
        <f>X15/M15*100</f>
        <v>75</v>
      </c>
      <c r="AA15" s="29">
        <f>Y15/N15*100</f>
        <v>67.471345908686061</v>
      </c>
      <c r="AB15" s="455">
        <f>I15+X15</f>
        <v>9</v>
      </c>
      <c r="AC15" s="431">
        <f t="shared" si="3"/>
        <v>2333354.6329999999</v>
      </c>
      <c r="AD15" s="433" t="e">
        <f>AB15/G15*100</f>
        <v>#DIV/0!</v>
      </c>
      <c r="AE15" s="420" t="e">
        <f>AC15/H15*100</f>
        <v>#DIV/0!</v>
      </c>
      <c r="AF15" s="7"/>
    </row>
    <row r="16" spans="1:39" s="376" customFormat="1" ht="50.25" customHeight="1" x14ac:dyDescent="0.25">
      <c r="A16" s="553"/>
      <c r="B16" s="566" t="s">
        <v>222</v>
      </c>
      <c r="C16" s="824" t="s">
        <v>181</v>
      </c>
      <c r="D16" s="463" t="s">
        <v>34</v>
      </c>
      <c r="E16" s="554" t="s">
        <v>420</v>
      </c>
      <c r="F16" s="555" t="s">
        <v>93</v>
      </c>
      <c r="G16" s="556">
        <v>100</v>
      </c>
      <c r="H16" s="557">
        <f>H18+H20</f>
        <v>486500</v>
      </c>
      <c r="I16" s="558">
        <f>I20/G20*100</f>
        <v>14.583333333333334</v>
      </c>
      <c r="J16" s="557">
        <f>J18+J20</f>
        <v>124815</v>
      </c>
      <c r="K16" s="556">
        <v>100</v>
      </c>
      <c r="L16" s="557">
        <f>L18+L20</f>
        <v>55000</v>
      </c>
      <c r="M16" s="556">
        <v>100</v>
      </c>
      <c r="N16" s="557">
        <f>N18+N20</f>
        <v>55000</v>
      </c>
      <c r="O16" s="557">
        <f>O18+O20</f>
        <v>25000</v>
      </c>
      <c r="P16" s="556">
        <f>P18+P20</f>
        <v>0</v>
      </c>
      <c r="Q16" s="557">
        <f>Q18+Q20</f>
        <v>0</v>
      </c>
      <c r="R16" s="569">
        <v>0</v>
      </c>
      <c r="S16" s="568">
        <v>0</v>
      </c>
      <c r="T16" s="815">
        <f>2/69*100%</f>
        <v>2.8985507246376812E-2</v>
      </c>
      <c r="U16" s="568">
        <v>0</v>
      </c>
      <c r="V16" s="568">
        <v>0</v>
      </c>
      <c r="W16" s="568">
        <v>0</v>
      </c>
      <c r="X16" s="558">
        <f>P16+R16+T16+V16</f>
        <v>2.8985507246376812E-2</v>
      </c>
      <c r="Y16" s="562">
        <f>Q16+S16+U16+W16</f>
        <v>0</v>
      </c>
      <c r="Z16" s="558">
        <f>X16/M16*100</f>
        <v>2.8985507246376812E-2</v>
      </c>
      <c r="AA16" s="559">
        <f>Y16/N16*100</f>
        <v>0</v>
      </c>
      <c r="AB16" s="558">
        <f>I16+X16</f>
        <v>14.612318840579711</v>
      </c>
      <c r="AC16" s="557">
        <f>J16+Y16</f>
        <v>124815</v>
      </c>
      <c r="AD16" s="563">
        <f>AB16/G16*100</f>
        <v>14.612318840579711</v>
      </c>
      <c r="AE16" s="564">
        <f>AC16/H16*100</f>
        <v>25.655704008221992</v>
      </c>
      <c r="AF16" s="553"/>
      <c r="AH16" s="442"/>
      <c r="AI16" s="442">
        <v>14999</v>
      </c>
      <c r="AJ16" s="442">
        <v>9892.2999999999993</v>
      </c>
      <c r="AK16" s="442">
        <v>36280.629999999997</v>
      </c>
      <c r="AL16" s="443"/>
    </row>
    <row r="17" spans="1:37" ht="72.75" customHeight="1" x14ac:dyDescent="0.25">
      <c r="A17" s="510"/>
      <c r="B17" s="528"/>
      <c r="C17" s="547"/>
      <c r="D17" s="513" t="s">
        <v>40</v>
      </c>
      <c r="E17" s="512" t="s">
        <v>451</v>
      </c>
      <c r="F17" s="531" t="s">
        <v>441</v>
      </c>
      <c r="G17" s="516"/>
      <c r="H17" s="515"/>
      <c r="I17" s="516"/>
      <c r="J17" s="517"/>
      <c r="K17" s="538">
        <f>SUM(K18:K20)</f>
        <v>74</v>
      </c>
      <c r="L17" s="860">
        <f t="shared" ref="L17:AA17" si="6">SUM(L18:L20)</f>
        <v>55000</v>
      </c>
      <c r="M17" s="538">
        <f t="shared" si="6"/>
        <v>69</v>
      </c>
      <c r="N17" s="860">
        <f t="shared" si="6"/>
        <v>55000</v>
      </c>
      <c r="O17" s="860">
        <f t="shared" si="6"/>
        <v>25000</v>
      </c>
      <c r="P17" s="538">
        <f t="shared" si="6"/>
        <v>0</v>
      </c>
      <c r="Q17" s="871">
        <f t="shared" si="6"/>
        <v>0</v>
      </c>
      <c r="R17" s="538">
        <f t="shared" si="6"/>
        <v>0</v>
      </c>
      <c r="S17" s="871">
        <f t="shared" si="6"/>
        <v>0</v>
      </c>
      <c r="T17" s="538">
        <f t="shared" si="6"/>
        <v>2</v>
      </c>
      <c r="U17" s="871">
        <f t="shared" si="6"/>
        <v>0</v>
      </c>
      <c r="V17" s="871">
        <f t="shared" si="6"/>
        <v>0</v>
      </c>
      <c r="W17" s="871">
        <f t="shared" si="6"/>
        <v>0</v>
      </c>
      <c r="X17" s="538">
        <f t="shared" si="6"/>
        <v>2</v>
      </c>
      <c r="Y17" s="538">
        <f t="shared" si="6"/>
        <v>0</v>
      </c>
      <c r="Z17" s="538">
        <f t="shared" si="6"/>
        <v>22.222222222222221</v>
      </c>
      <c r="AA17" s="538">
        <f t="shared" si="6"/>
        <v>0</v>
      </c>
      <c r="AB17" s="523"/>
      <c r="AC17" s="520"/>
      <c r="AD17" s="525"/>
      <c r="AE17" s="522"/>
      <c r="AF17" s="510"/>
    </row>
    <row r="18" spans="1:37" ht="44.25" customHeight="1" x14ac:dyDescent="0.25">
      <c r="A18" s="7">
        <v>4</v>
      </c>
      <c r="B18" s="386" t="s">
        <v>422</v>
      </c>
      <c r="C18" s="381" t="s">
        <v>180</v>
      </c>
      <c r="D18" s="13" t="s">
        <v>41</v>
      </c>
      <c r="E18" s="472" t="s">
        <v>90</v>
      </c>
      <c r="F18" s="46" t="s">
        <v>195</v>
      </c>
      <c r="G18" s="604">
        <v>235</v>
      </c>
      <c r="H18" s="607">
        <v>221500</v>
      </c>
      <c r="I18" s="604">
        <f>0+50+95+0</f>
        <v>145</v>
      </c>
      <c r="J18" s="607">
        <f>0+22500+54815+0</f>
        <v>77315</v>
      </c>
      <c r="K18" s="459">
        <v>60</v>
      </c>
      <c r="L18" s="69">
        <v>30000</v>
      </c>
      <c r="M18" s="459">
        <v>60</v>
      </c>
      <c r="N18" s="69">
        <v>30000</v>
      </c>
      <c r="O18" s="69">
        <f>N18-30000</f>
        <v>0</v>
      </c>
      <c r="P18" s="459">
        <v>0</v>
      </c>
      <c r="Q18" s="69">
        <v>0</v>
      </c>
      <c r="R18" s="753">
        <v>0</v>
      </c>
      <c r="S18" s="754">
        <v>0</v>
      </c>
      <c r="T18" s="459">
        <v>0</v>
      </c>
      <c r="U18" s="69">
        <v>0</v>
      </c>
      <c r="V18" s="459"/>
      <c r="W18" s="69"/>
      <c r="X18" s="459">
        <f t="shared" si="1"/>
        <v>0</v>
      </c>
      <c r="Y18" s="594">
        <f t="shared" si="1"/>
        <v>0</v>
      </c>
      <c r="Z18" s="596">
        <f>X18/M18*100</f>
        <v>0</v>
      </c>
      <c r="AA18" s="57">
        <f>Y18/N18*100</f>
        <v>0</v>
      </c>
      <c r="AB18" s="839">
        <f>I18+X18</f>
        <v>145</v>
      </c>
      <c r="AC18" s="684">
        <f t="shared" si="3"/>
        <v>77315</v>
      </c>
      <c r="AD18" s="840">
        <f>AB18/G18*100</f>
        <v>61.702127659574465</v>
      </c>
      <c r="AE18" s="682">
        <f>AC18/H18*100</f>
        <v>34.905191873589168</v>
      </c>
      <c r="AF18" s="46"/>
    </row>
    <row r="19" spans="1:37" ht="45.75" customHeight="1" x14ac:dyDescent="0.25">
      <c r="A19" s="7"/>
      <c r="B19" s="464" t="s">
        <v>224</v>
      </c>
      <c r="C19" s="470" t="s">
        <v>183</v>
      </c>
      <c r="D19" s="691"/>
      <c r="E19" s="472"/>
      <c r="F19" s="46"/>
      <c r="G19" s="650"/>
      <c r="H19" s="607"/>
      <c r="I19" s="604"/>
      <c r="J19" s="607"/>
      <c r="K19" s="459"/>
      <c r="L19" s="57"/>
      <c r="M19" s="459"/>
      <c r="N19" s="57"/>
      <c r="O19" s="57"/>
      <c r="P19" s="459"/>
      <c r="Q19" s="69"/>
      <c r="R19" s="753"/>
      <c r="S19" s="754"/>
      <c r="T19" s="504"/>
      <c r="U19" s="69"/>
      <c r="V19" s="459"/>
      <c r="W19" s="69"/>
      <c r="X19" s="459"/>
      <c r="Y19" s="594"/>
      <c r="Z19" s="596"/>
      <c r="AA19" s="57"/>
      <c r="AB19" s="839"/>
      <c r="AC19" s="684"/>
      <c r="AD19" s="841"/>
      <c r="AE19" s="682"/>
      <c r="AF19" s="46"/>
    </row>
    <row r="20" spans="1:37" ht="43.5" customHeight="1" x14ac:dyDescent="0.25">
      <c r="A20" s="7">
        <v>5</v>
      </c>
      <c r="B20" s="384" t="s">
        <v>225</v>
      </c>
      <c r="C20" s="381" t="s">
        <v>182</v>
      </c>
      <c r="D20" s="14" t="s">
        <v>42</v>
      </c>
      <c r="E20" s="473" t="s">
        <v>91</v>
      </c>
      <c r="F20" s="47" t="s">
        <v>112</v>
      </c>
      <c r="G20" s="680">
        <v>96</v>
      </c>
      <c r="H20" s="600">
        <v>265000</v>
      </c>
      <c r="I20" s="593">
        <f>0+5+9+0</f>
        <v>14</v>
      </c>
      <c r="J20" s="600">
        <f>0+22500+25000+0</f>
        <v>47500</v>
      </c>
      <c r="K20" s="55">
        <v>14</v>
      </c>
      <c r="L20" s="67">
        <v>25000</v>
      </c>
      <c r="M20" s="55">
        <v>9</v>
      </c>
      <c r="N20" s="67">
        <v>25000</v>
      </c>
      <c r="O20" s="67">
        <v>25000</v>
      </c>
      <c r="P20" s="55">
        <v>0</v>
      </c>
      <c r="Q20" s="67">
        <v>0</v>
      </c>
      <c r="R20" s="733">
        <v>0</v>
      </c>
      <c r="S20" s="606">
        <v>0</v>
      </c>
      <c r="T20" s="505">
        <v>2</v>
      </c>
      <c r="U20" s="67">
        <v>0</v>
      </c>
      <c r="V20" s="55"/>
      <c r="W20" s="67"/>
      <c r="X20" s="55">
        <f t="shared" si="1"/>
        <v>2</v>
      </c>
      <c r="Y20" s="589">
        <f t="shared" si="1"/>
        <v>0</v>
      </c>
      <c r="Z20" s="590">
        <f>X20/M20*100</f>
        <v>22.222222222222221</v>
      </c>
      <c r="AA20" s="493">
        <f>Y20/N20*100</f>
        <v>0</v>
      </c>
      <c r="AB20" s="601">
        <f>I20+X20</f>
        <v>16</v>
      </c>
      <c r="AC20" s="595">
        <f t="shared" si="3"/>
        <v>47500</v>
      </c>
      <c r="AD20" s="597">
        <f>AB20/G20*100</f>
        <v>16.666666666666664</v>
      </c>
      <c r="AE20" s="598">
        <f>AC20/H20*100</f>
        <v>17.924528301886792</v>
      </c>
      <c r="AF20" s="47"/>
    </row>
    <row r="21" spans="1:37" s="404" customFormat="1" ht="53.25" customHeight="1" x14ac:dyDescent="0.25">
      <c r="A21" s="463"/>
      <c r="B21" s="566" t="s">
        <v>187</v>
      </c>
      <c r="C21" s="824" t="s">
        <v>171</v>
      </c>
      <c r="D21" s="632" t="s">
        <v>34</v>
      </c>
      <c r="E21" s="633" t="s">
        <v>254</v>
      </c>
      <c r="F21" s="634" t="s">
        <v>93</v>
      </c>
      <c r="G21" s="635">
        <v>100</v>
      </c>
      <c r="H21" s="636">
        <f>H23+H24+H25+H26+H27+H29+H30</f>
        <v>7672000</v>
      </c>
      <c r="I21" s="635">
        <f>I23/G23*100</f>
        <v>80</v>
      </c>
      <c r="J21" s="637">
        <f>J23+J24+J25+J26+J27+J29+J30</f>
        <v>4981679.0649999995</v>
      </c>
      <c r="K21" s="635">
        <v>100</v>
      </c>
      <c r="L21" s="638">
        <f>L23+L24+L25+L26+L27+L29+L30</f>
        <v>1614286.7999999998</v>
      </c>
      <c r="M21" s="635">
        <v>100</v>
      </c>
      <c r="N21" s="639">
        <f>N23+N25+N26+N27+N29+N30</f>
        <v>1511120</v>
      </c>
      <c r="O21" s="639">
        <f>O23+O25+O26+O27+O29+O30</f>
        <v>1389820</v>
      </c>
      <c r="P21" s="635">
        <v>25</v>
      </c>
      <c r="Q21" s="640">
        <f>Q23+Q25+Q26+Q27+Q29+Q30</f>
        <v>168858.269</v>
      </c>
      <c r="R21" s="814">
        <v>25</v>
      </c>
      <c r="S21" s="812">
        <f>S23+S25+S26+S27+S29+S30</f>
        <v>286365.16799999989</v>
      </c>
      <c r="T21" s="814">
        <v>25</v>
      </c>
      <c r="U21" s="812">
        <f>U23+U25+U26+U27+U29+U30</f>
        <v>383848.64600000007</v>
      </c>
      <c r="V21" s="812">
        <f>V23+V25+V26+V27+V29+V30</f>
        <v>0</v>
      </c>
      <c r="W21" s="812">
        <f>W23+W25+W26+W27+W29+W30</f>
        <v>0</v>
      </c>
      <c r="X21" s="635">
        <f>+P21+R21+T21+V21</f>
        <v>75</v>
      </c>
      <c r="Y21" s="637">
        <f>Q21+S21+U21+W21</f>
        <v>839072.08299999998</v>
      </c>
      <c r="Z21" s="642">
        <v>75</v>
      </c>
      <c r="AA21" s="643">
        <f>Y21/N21*100</f>
        <v>55.526502395574141</v>
      </c>
      <c r="AB21" s="644">
        <f>I21+X21</f>
        <v>155</v>
      </c>
      <c r="AC21" s="761">
        <f>J21+Y21</f>
        <v>5820751.1479999991</v>
      </c>
      <c r="AD21" s="813">
        <f>AB21/G21*100</f>
        <v>155</v>
      </c>
      <c r="AE21" s="642">
        <f>AC21/H21*100</f>
        <v>75.870061887382676</v>
      </c>
      <c r="AF21" s="632"/>
      <c r="AH21" s="440">
        <v>271866</v>
      </c>
      <c r="AI21" s="440">
        <v>513410</v>
      </c>
      <c r="AJ21" s="440">
        <f>291044-5794</f>
        <v>285250</v>
      </c>
      <c r="AK21" s="440">
        <v>246285.989</v>
      </c>
    </row>
    <row r="22" spans="1:37" s="376" customFormat="1" ht="41.25" customHeight="1" x14ac:dyDescent="0.25">
      <c r="A22" s="531"/>
      <c r="B22" s="528"/>
      <c r="C22" s="547"/>
      <c r="D22" s="532" t="s">
        <v>43</v>
      </c>
      <c r="E22" s="512" t="s">
        <v>452</v>
      </c>
      <c r="F22" s="534" t="s">
        <v>444</v>
      </c>
      <c r="G22" s="535"/>
      <c r="H22" s="536"/>
      <c r="I22" s="535"/>
      <c r="J22" s="537"/>
      <c r="K22" s="538">
        <v>12</v>
      </c>
      <c r="L22" s="861">
        <f>SUM(L23:L27)</f>
        <v>1004388.9</v>
      </c>
      <c r="M22" s="524">
        <v>12</v>
      </c>
      <c r="N22" s="861">
        <f>SUM(N23:N27)</f>
        <v>896623.7</v>
      </c>
      <c r="O22" s="861">
        <f>SUM(O23:O27)</f>
        <v>769123.7</v>
      </c>
      <c r="P22" s="524">
        <v>3</v>
      </c>
      <c r="Q22" s="862">
        <f>SUM(Q23:Q27)</f>
        <v>100610.55</v>
      </c>
      <c r="R22" s="524">
        <v>3</v>
      </c>
      <c r="S22" s="862">
        <f>SUM(S23:S27)</f>
        <v>180700.15</v>
      </c>
      <c r="T22" s="524">
        <v>3</v>
      </c>
      <c r="U22" s="862">
        <f>SUM(U23:U27)</f>
        <v>174392.5</v>
      </c>
      <c r="V22" s="862">
        <f>SUM(V23:V27)</f>
        <v>0</v>
      </c>
      <c r="W22" s="862">
        <f>SUM(W23:W27)</f>
        <v>0</v>
      </c>
      <c r="X22" s="524">
        <v>9</v>
      </c>
      <c r="Y22" s="524">
        <f>SUM(Y23:Y27)</f>
        <v>455703.19999999995</v>
      </c>
      <c r="Z22" s="539">
        <f>X22/M22*100</f>
        <v>75</v>
      </c>
      <c r="AA22" s="539">
        <f>Y22/N22*100</f>
        <v>50.824353627948938</v>
      </c>
      <c r="AB22" s="586"/>
      <c r="AC22" s="587"/>
      <c r="AD22" s="588"/>
      <c r="AE22" s="541"/>
      <c r="AF22" s="534"/>
    </row>
    <row r="23" spans="1:37" ht="32.25" customHeight="1" x14ac:dyDescent="0.25">
      <c r="A23" s="7">
        <v>6</v>
      </c>
      <c r="B23" s="384" t="s">
        <v>202</v>
      </c>
      <c r="C23" s="381" t="s">
        <v>173</v>
      </c>
      <c r="D23" s="13" t="s">
        <v>44</v>
      </c>
      <c r="E23" s="51" t="s">
        <v>92</v>
      </c>
      <c r="F23" s="46" t="s">
        <v>94</v>
      </c>
      <c r="G23" s="141">
        <v>60</v>
      </c>
      <c r="H23" s="142">
        <v>224000</v>
      </c>
      <c r="I23" s="418">
        <f>12+12+12+12</f>
        <v>48</v>
      </c>
      <c r="J23" s="681">
        <f>39219+39999+31995+21499.5</f>
        <v>132712.5</v>
      </c>
      <c r="K23" s="19">
        <v>12</v>
      </c>
      <c r="L23" s="65">
        <v>46887.9</v>
      </c>
      <c r="M23" s="500">
        <v>12</v>
      </c>
      <c r="N23" s="502">
        <v>96622.7</v>
      </c>
      <c r="O23" s="502">
        <v>96622.7</v>
      </c>
      <c r="P23" s="504">
        <v>3</v>
      </c>
      <c r="Q23" s="580">
        <v>10426.9</v>
      </c>
      <c r="R23" s="755">
        <v>3</v>
      </c>
      <c r="S23" s="759">
        <f>29132.55-Q23</f>
        <v>18705.650000000001</v>
      </c>
      <c r="T23" s="459">
        <v>3</v>
      </c>
      <c r="U23" s="69">
        <f>52497.55-Q23-S23</f>
        <v>23365</v>
      </c>
      <c r="V23" s="459"/>
      <c r="W23" s="583"/>
      <c r="X23" s="459">
        <f t="shared" si="1"/>
        <v>9</v>
      </c>
      <c r="Y23" s="594">
        <f t="shared" si="1"/>
        <v>52497.55</v>
      </c>
      <c r="Z23" s="596">
        <f t="shared" ref="Z23:AA27" si="7">X23/M23*100</f>
        <v>75</v>
      </c>
      <c r="AA23" s="57">
        <f t="shared" si="7"/>
        <v>54.332522274786363</v>
      </c>
      <c r="AB23" s="839">
        <f>I23+X23</f>
        <v>57</v>
      </c>
      <c r="AC23" s="607">
        <f t="shared" si="3"/>
        <v>185210.05</v>
      </c>
      <c r="AD23" s="841">
        <f t="shared" ref="AD23:AE27" si="8">AB23/G23*100</f>
        <v>95</v>
      </c>
      <c r="AE23" s="682">
        <f t="shared" si="8"/>
        <v>82.683058035714282</v>
      </c>
      <c r="AF23" s="46"/>
    </row>
    <row r="24" spans="1:37" ht="40.5" customHeight="1" x14ac:dyDescent="0.25">
      <c r="A24" s="7"/>
      <c r="B24" s="384" t="s">
        <v>203</v>
      </c>
      <c r="C24" s="381" t="s">
        <v>44</v>
      </c>
      <c r="D24" s="14"/>
      <c r="E24" s="51" t="s">
        <v>96</v>
      </c>
      <c r="F24" s="7" t="s">
        <v>94</v>
      </c>
      <c r="G24" s="141">
        <v>60</v>
      </c>
      <c r="H24" s="142">
        <v>167500</v>
      </c>
      <c r="I24" s="418">
        <f>12+12+12+12</f>
        <v>48</v>
      </c>
      <c r="J24" s="681">
        <f>21595+24716+41560+43561.5</f>
        <v>131432.5</v>
      </c>
      <c r="K24" s="19">
        <v>12</v>
      </c>
      <c r="L24" s="66">
        <v>45000</v>
      </c>
      <c r="M24" s="501"/>
      <c r="N24" s="503"/>
      <c r="O24" s="503"/>
      <c r="P24" s="505"/>
      <c r="Q24" s="581"/>
      <c r="R24" s="734"/>
      <c r="S24" s="606"/>
      <c r="T24" s="55"/>
      <c r="U24" s="67"/>
      <c r="V24" s="55"/>
      <c r="W24" s="581"/>
      <c r="X24" s="593">
        <f t="shared" si="1"/>
        <v>0</v>
      </c>
      <c r="Y24" s="595">
        <f t="shared" si="1"/>
        <v>0</v>
      </c>
      <c r="Z24" s="597" t="e">
        <f t="shared" si="7"/>
        <v>#DIV/0!</v>
      </c>
      <c r="AA24" s="598" t="e">
        <f t="shared" si="7"/>
        <v>#DIV/0!</v>
      </c>
      <c r="AB24" s="601">
        <f>I24+X24</f>
        <v>48</v>
      </c>
      <c r="AC24" s="595">
        <f t="shared" si="3"/>
        <v>131432.5</v>
      </c>
      <c r="AD24" s="597">
        <f t="shared" si="8"/>
        <v>80</v>
      </c>
      <c r="AE24" s="598">
        <f t="shared" si="8"/>
        <v>78.467164179104472</v>
      </c>
      <c r="AF24" s="47"/>
    </row>
    <row r="25" spans="1:37" ht="53.25" customHeight="1" x14ac:dyDescent="0.25">
      <c r="A25" s="7">
        <v>7</v>
      </c>
      <c r="B25" s="384" t="s">
        <v>204</v>
      </c>
      <c r="C25" s="381" t="s">
        <v>174</v>
      </c>
      <c r="D25" s="14" t="s">
        <v>45</v>
      </c>
      <c r="E25" s="4" t="s">
        <v>97</v>
      </c>
      <c r="F25" s="47" t="s">
        <v>94</v>
      </c>
      <c r="G25" s="418">
        <v>60</v>
      </c>
      <c r="H25" s="142">
        <v>545000</v>
      </c>
      <c r="I25" s="418">
        <f>12+12+12+12</f>
        <v>48</v>
      </c>
      <c r="J25" s="431">
        <f>98426+84665+104792+161491.228</f>
        <v>449374.228</v>
      </c>
      <c r="K25" s="19">
        <v>11</v>
      </c>
      <c r="L25" s="9">
        <v>127501</v>
      </c>
      <c r="M25" s="55">
        <v>12</v>
      </c>
      <c r="N25" s="67">
        <v>127501</v>
      </c>
      <c r="O25" s="67">
        <v>127501</v>
      </c>
      <c r="P25" s="55">
        <v>2</v>
      </c>
      <c r="Q25" s="506">
        <v>23478.5</v>
      </c>
      <c r="R25" s="733">
        <v>3</v>
      </c>
      <c r="S25" s="810">
        <f>36488-Q25</f>
        <v>13009.5</v>
      </c>
      <c r="T25" s="55">
        <v>3</v>
      </c>
      <c r="U25" s="67">
        <f>79451.5-Q25-S25</f>
        <v>42963.5</v>
      </c>
      <c r="V25" s="55"/>
      <c r="W25" s="67"/>
      <c r="X25" s="55">
        <f t="shared" si="1"/>
        <v>8</v>
      </c>
      <c r="Y25" s="589">
        <f t="shared" si="1"/>
        <v>79451.5</v>
      </c>
      <c r="Z25" s="590">
        <f t="shared" si="7"/>
        <v>66.666666666666657</v>
      </c>
      <c r="AA25" s="493">
        <f t="shared" si="7"/>
        <v>62.314413220288465</v>
      </c>
      <c r="AB25" s="601">
        <f>I25+X25</f>
        <v>56</v>
      </c>
      <c r="AC25" s="595">
        <f t="shared" si="3"/>
        <v>528825.728</v>
      </c>
      <c r="AD25" s="842">
        <f t="shared" si="8"/>
        <v>93.333333333333329</v>
      </c>
      <c r="AE25" s="598">
        <f t="shared" si="8"/>
        <v>97.032243669724778</v>
      </c>
      <c r="AF25" s="47"/>
    </row>
    <row r="26" spans="1:37" ht="40.5" customHeight="1" x14ac:dyDescent="0.25">
      <c r="A26" s="7">
        <v>8</v>
      </c>
      <c r="B26" s="384" t="s">
        <v>206</v>
      </c>
      <c r="C26" s="381" t="s">
        <v>190</v>
      </c>
      <c r="D26" s="6" t="s">
        <v>46</v>
      </c>
      <c r="E26" s="4" t="s">
        <v>98</v>
      </c>
      <c r="F26" s="7" t="s">
        <v>94</v>
      </c>
      <c r="G26" s="418">
        <v>60</v>
      </c>
      <c r="H26" s="142">
        <v>175500</v>
      </c>
      <c r="I26" s="418">
        <f>12+12+12+12</f>
        <v>48</v>
      </c>
      <c r="J26" s="681">
        <f>33000+29995+34978+45485.3</f>
        <v>143458.29999999999</v>
      </c>
      <c r="K26" s="19">
        <v>12</v>
      </c>
      <c r="L26" s="9">
        <v>35000</v>
      </c>
      <c r="M26" s="19">
        <v>12</v>
      </c>
      <c r="N26" s="9">
        <v>35000</v>
      </c>
      <c r="O26" s="9">
        <v>35000</v>
      </c>
      <c r="P26" s="19">
        <v>3</v>
      </c>
      <c r="Q26" s="29">
        <v>9582.65</v>
      </c>
      <c r="R26" s="805">
        <v>3</v>
      </c>
      <c r="S26" s="284">
        <f>13082.65-Q26</f>
        <v>3500</v>
      </c>
      <c r="T26" s="19">
        <v>3</v>
      </c>
      <c r="U26" s="9">
        <f>22457.65-Q26-S26</f>
        <v>9375.0000000000018</v>
      </c>
      <c r="V26" s="19"/>
      <c r="W26" s="9"/>
      <c r="X26" s="19">
        <f t="shared" si="1"/>
        <v>9</v>
      </c>
      <c r="Y26" s="68">
        <f t="shared" si="1"/>
        <v>22457.65</v>
      </c>
      <c r="Z26" s="410">
        <f t="shared" si="7"/>
        <v>75</v>
      </c>
      <c r="AA26" s="29">
        <f t="shared" si="7"/>
        <v>64.164714285714282</v>
      </c>
      <c r="AB26" s="455">
        <f>I26+X26</f>
        <v>57</v>
      </c>
      <c r="AC26" s="431">
        <f t="shared" si="3"/>
        <v>165915.94999999998</v>
      </c>
      <c r="AD26" s="433">
        <f t="shared" si="8"/>
        <v>95</v>
      </c>
      <c r="AE26" s="420">
        <f t="shared" si="8"/>
        <v>94.539002849002841</v>
      </c>
      <c r="AF26" s="7"/>
    </row>
    <row r="27" spans="1:37" ht="45" customHeight="1" x14ac:dyDescent="0.25">
      <c r="A27" s="46">
        <v>9</v>
      </c>
      <c r="B27" s="384" t="s">
        <v>205</v>
      </c>
      <c r="C27" s="381" t="s">
        <v>191</v>
      </c>
      <c r="D27" s="6" t="s">
        <v>47</v>
      </c>
      <c r="E27" s="4" t="s">
        <v>99</v>
      </c>
      <c r="F27" s="7" t="s">
        <v>94</v>
      </c>
      <c r="G27" s="418">
        <v>60</v>
      </c>
      <c r="H27" s="142">
        <v>3655000</v>
      </c>
      <c r="I27" s="418">
        <f>12+12+12+12</f>
        <v>48</v>
      </c>
      <c r="J27" s="431">
        <f>274635+729772+699881+489525.481</f>
        <v>2193813.4810000001</v>
      </c>
      <c r="K27" s="19">
        <v>12</v>
      </c>
      <c r="L27" s="9">
        <v>750000</v>
      </c>
      <c r="M27" s="19">
        <v>12</v>
      </c>
      <c r="N27" s="9">
        <v>637500</v>
      </c>
      <c r="O27" s="9">
        <f>N27-127500</f>
        <v>510000</v>
      </c>
      <c r="P27" s="19">
        <v>3</v>
      </c>
      <c r="Q27" s="23">
        <v>57122.5</v>
      </c>
      <c r="R27" s="805">
        <v>3</v>
      </c>
      <c r="S27" s="284">
        <f>202607.5-Q27</f>
        <v>145485</v>
      </c>
      <c r="T27" s="19">
        <v>3</v>
      </c>
      <c r="U27" s="9">
        <f>301296.5-Q27-S27</f>
        <v>98689</v>
      </c>
      <c r="V27" s="19"/>
      <c r="W27" s="9"/>
      <c r="X27" s="19">
        <f t="shared" si="1"/>
        <v>9</v>
      </c>
      <c r="Y27" s="68">
        <f t="shared" si="1"/>
        <v>301296.5</v>
      </c>
      <c r="Z27" s="410">
        <f t="shared" si="7"/>
        <v>75</v>
      </c>
      <c r="AA27" s="29">
        <f t="shared" si="7"/>
        <v>47.262196078431373</v>
      </c>
      <c r="AB27" s="455">
        <f>I27+X27</f>
        <v>57</v>
      </c>
      <c r="AC27" s="431">
        <f t="shared" si="3"/>
        <v>2495109.9810000001</v>
      </c>
      <c r="AD27" s="433">
        <f t="shared" si="8"/>
        <v>95</v>
      </c>
      <c r="AE27" s="420">
        <f t="shared" si="8"/>
        <v>68.265662954856367</v>
      </c>
      <c r="AF27" s="7"/>
    </row>
    <row r="28" spans="1:37" s="376" customFormat="1" ht="56.25" customHeight="1" x14ac:dyDescent="0.25">
      <c r="A28" s="534"/>
      <c r="B28" s="694" t="s">
        <v>187</v>
      </c>
      <c r="C28" s="470" t="s">
        <v>171</v>
      </c>
      <c r="D28" s="513" t="s">
        <v>52</v>
      </c>
      <c r="E28" s="512" t="s">
        <v>453</v>
      </c>
      <c r="F28" s="531" t="s">
        <v>444</v>
      </c>
      <c r="G28" s="718"/>
      <c r="H28" s="719"/>
      <c r="I28" s="718"/>
      <c r="J28" s="720"/>
      <c r="K28" s="538">
        <v>12</v>
      </c>
      <c r="L28" s="859">
        <f>SUM(L29:L30)</f>
        <v>609897.9</v>
      </c>
      <c r="M28" s="524">
        <v>12</v>
      </c>
      <c r="N28" s="859">
        <f>SUM(N29:N30)</f>
        <v>614496.30000000005</v>
      </c>
      <c r="O28" s="859">
        <f>SUM(O29:O30)</f>
        <v>620696.30000000005</v>
      </c>
      <c r="P28" s="524">
        <v>3</v>
      </c>
      <c r="Q28" s="543">
        <f>SUM(Q29:Q30)</f>
        <v>68247.718999999997</v>
      </c>
      <c r="R28" s="524">
        <v>3</v>
      </c>
      <c r="S28" s="543">
        <f>SUM(S29:S30)</f>
        <v>105665.01799999989</v>
      </c>
      <c r="T28" s="524">
        <v>3</v>
      </c>
      <c r="U28" s="543">
        <f>SUM(U29:U30)</f>
        <v>209456.1460000001</v>
      </c>
      <c r="V28" s="543">
        <f>SUM(V29:V30)</f>
        <v>0</v>
      </c>
      <c r="W28" s="543">
        <f>SUM(W29:W30)</f>
        <v>0</v>
      </c>
      <c r="X28" s="539">
        <v>9</v>
      </c>
      <c r="Y28" s="539">
        <f>SUM(Y29:Y30)</f>
        <v>383368.88300000003</v>
      </c>
      <c r="Z28" s="539">
        <v>75</v>
      </c>
      <c r="AA28" s="539">
        <f>SUM(AA29:AA30)</f>
        <v>109.78818824839723</v>
      </c>
      <c r="AB28" s="523"/>
      <c r="AC28" s="520"/>
      <c r="AD28" s="546"/>
      <c r="AE28" s="524"/>
      <c r="AF28" s="531"/>
    </row>
    <row r="29" spans="1:37" ht="51.75" customHeight="1" x14ac:dyDescent="0.25">
      <c r="A29" s="47">
        <v>10</v>
      </c>
      <c r="B29" s="688" t="s">
        <v>199</v>
      </c>
      <c r="C29" s="825" t="s">
        <v>53</v>
      </c>
      <c r="D29" s="6" t="s">
        <v>53</v>
      </c>
      <c r="E29" s="4" t="s">
        <v>104</v>
      </c>
      <c r="F29" s="7" t="s">
        <v>94</v>
      </c>
      <c r="G29" s="418">
        <v>60</v>
      </c>
      <c r="H29" s="142">
        <v>705000</v>
      </c>
      <c r="I29" s="418">
        <v>48</v>
      </c>
      <c r="J29" s="431">
        <f>71532+96034+85915+87424.982</f>
        <v>340905.98200000002</v>
      </c>
      <c r="K29" s="19">
        <v>12</v>
      </c>
      <c r="L29" s="9">
        <v>150000</v>
      </c>
      <c r="M29" s="19">
        <v>12</v>
      </c>
      <c r="N29" s="9">
        <v>150000</v>
      </c>
      <c r="O29" s="9">
        <v>100000</v>
      </c>
      <c r="P29" s="19">
        <v>3</v>
      </c>
      <c r="Q29" s="68">
        <v>21598.556</v>
      </c>
      <c r="R29" s="805">
        <v>3</v>
      </c>
      <c r="S29" s="808">
        <f>42322.3479999999-Q29</f>
        <v>20723.791999999903</v>
      </c>
      <c r="T29" s="19">
        <v>3</v>
      </c>
      <c r="U29" s="68">
        <f>60379.02-Q29-S29</f>
        <v>18056.67200000009</v>
      </c>
      <c r="V29" s="19"/>
      <c r="W29" s="9"/>
      <c r="X29" s="19">
        <f t="shared" ref="X29:Y31" si="9">P29+R29+T29+V29</f>
        <v>9</v>
      </c>
      <c r="Y29" s="68">
        <f t="shared" si="9"/>
        <v>60379.01999999999</v>
      </c>
      <c r="Z29" s="410">
        <f t="shared" ref="Z29:AA31" si="10">X29/M29*100</f>
        <v>75</v>
      </c>
      <c r="AA29" s="29">
        <f t="shared" si="10"/>
        <v>40.252679999999991</v>
      </c>
      <c r="AB29" s="455">
        <f>I29+X29</f>
        <v>57</v>
      </c>
      <c r="AC29" s="431">
        <f>Y29+J29</f>
        <v>401285.00199999998</v>
      </c>
      <c r="AD29" s="433">
        <f t="shared" ref="AD29:AE31" si="11">AB29/G29*100</f>
        <v>95</v>
      </c>
      <c r="AE29" s="420">
        <f t="shared" si="11"/>
        <v>56.919858439716307</v>
      </c>
      <c r="AF29" s="7"/>
    </row>
    <row r="30" spans="1:37" ht="36.75" customHeight="1" x14ac:dyDescent="0.25">
      <c r="A30" s="47">
        <v>11</v>
      </c>
      <c r="B30" s="384" t="s">
        <v>200</v>
      </c>
      <c r="C30" s="381" t="s">
        <v>172</v>
      </c>
      <c r="D30" s="6" t="s">
        <v>54</v>
      </c>
      <c r="E30" s="4" t="s">
        <v>105</v>
      </c>
      <c r="F30" s="7" t="s">
        <v>94</v>
      </c>
      <c r="G30" s="418">
        <v>60</v>
      </c>
      <c r="H30" s="142">
        <v>2200000</v>
      </c>
      <c r="I30" s="418">
        <v>48</v>
      </c>
      <c r="J30" s="431">
        <f>365575+387224+413776+423407.074</f>
        <v>1589982.074</v>
      </c>
      <c r="K30" s="19">
        <v>12</v>
      </c>
      <c r="L30" s="23">
        <v>459897.9</v>
      </c>
      <c r="M30" s="19">
        <v>12</v>
      </c>
      <c r="N30" s="23">
        <v>464496.3</v>
      </c>
      <c r="O30" s="23">
        <v>520696.3</v>
      </c>
      <c r="P30" s="19">
        <v>3</v>
      </c>
      <c r="Q30" s="68">
        <v>46649.163</v>
      </c>
      <c r="R30" s="805">
        <v>3</v>
      </c>
      <c r="S30" s="808">
        <f>131590.389-Q30</f>
        <v>84941.225999999995</v>
      </c>
      <c r="T30" s="19">
        <v>3</v>
      </c>
      <c r="U30" s="68">
        <f>322989.863-Q30-S30</f>
        <v>191399.47400000002</v>
      </c>
      <c r="V30" s="19"/>
      <c r="W30" s="9"/>
      <c r="X30" s="19">
        <f t="shared" si="9"/>
        <v>9</v>
      </c>
      <c r="Y30" s="808">
        <f t="shared" si="9"/>
        <v>322989.86300000001</v>
      </c>
      <c r="Z30" s="410">
        <f t="shared" si="10"/>
        <v>75</v>
      </c>
      <c r="AA30" s="29">
        <f t="shared" si="10"/>
        <v>69.53550824839725</v>
      </c>
      <c r="AB30" s="455">
        <f>I30+X30</f>
        <v>57</v>
      </c>
      <c r="AC30" s="431">
        <f>Y30+J30</f>
        <v>1912971.9369999999</v>
      </c>
      <c r="AD30" s="433">
        <f t="shared" si="11"/>
        <v>95</v>
      </c>
      <c r="AE30" s="420">
        <f t="shared" si="11"/>
        <v>86.953269863636365</v>
      </c>
      <c r="AF30" s="7"/>
    </row>
    <row r="31" spans="1:37" s="376" customFormat="1" ht="53.25" customHeight="1" x14ac:dyDescent="0.25">
      <c r="A31" s="553"/>
      <c r="B31" s="566" t="s">
        <v>201</v>
      </c>
      <c r="C31" s="824" t="s">
        <v>175</v>
      </c>
      <c r="D31" s="463" t="s">
        <v>34</v>
      </c>
      <c r="E31" s="554" t="s">
        <v>255</v>
      </c>
      <c r="F31" s="555" t="s">
        <v>93</v>
      </c>
      <c r="G31" s="556">
        <v>100</v>
      </c>
      <c r="H31" s="557">
        <f>H33+H34+H35+H37+H38+H39</f>
        <v>3570750</v>
      </c>
      <c r="I31" s="565">
        <f>I25/G25*100</f>
        <v>80</v>
      </c>
      <c r="J31" s="562">
        <f>J33+J34+J35+J37+J38+J39</f>
        <v>1316812.9890000001</v>
      </c>
      <c r="K31" s="556">
        <v>100</v>
      </c>
      <c r="L31" s="562">
        <f>L33+L34+L35+L37+L38+L39</f>
        <v>842190.52799999993</v>
      </c>
      <c r="M31" s="556">
        <v>100</v>
      </c>
      <c r="N31" s="559">
        <f>N33+N34+N35+N37+N38+N39</f>
        <v>842056.86</v>
      </c>
      <c r="O31" s="559">
        <f>O33+O34+O35+O37+O38+O39</f>
        <v>839356.86</v>
      </c>
      <c r="P31" s="556">
        <v>25</v>
      </c>
      <c r="Q31" s="562">
        <f>Q33+Q34+Q35+Q37+Q38+Q39</f>
        <v>49343.186999999998</v>
      </c>
      <c r="R31" s="806">
        <v>25</v>
      </c>
      <c r="S31" s="568">
        <f>SUM(S33:S39)</f>
        <v>101063.00000000001</v>
      </c>
      <c r="T31" s="806">
        <v>25</v>
      </c>
      <c r="U31" s="568">
        <f>SUM(U33:U39)</f>
        <v>302896.95999999996</v>
      </c>
      <c r="V31" s="568">
        <f>SUM(V33:V39)</f>
        <v>0</v>
      </c>
      <c r="W31" s="568">
        <f>SUM(W33:W39)</f>
        <v>0</v>
      </c>
      <c r="X31" s="556">
        <f t="shared" si="9"/>
        <v>75</v>
      </c>
      <c r="Y31" s="562">
        <f t="shared" si="9"/>
        <v>453303.147</v>
      </c>
      <c r="Z31" s="558">
        <f t="shared" si="10"/>
        <v>75</v>
      </c>
      <c r="AA31" s="559">
        <f t="shared" si="10"/>
        <v>53.832842950771756</v>
      </c>
      <c r="AB31" s="558">
        <f>I31+X31</f>
        <v>155</v>
      </c>
      <c r="AC31" s="562">
        <f>J31+Y31</f>
        <v>1770116.1359999999</v>
      </c>
      <c r="AD31" s="573">
        <f t="shared" si="11"/>
        <v>155</v>
      </c>
      <c r="AE31" s="564">
        <f t="shared" si="11"/>
        <v>49.572670615416925</v>
      </c>
      <c r="AF31" s="555"/>
      <c r="AH31" s="441"/>
      <c r="AI31" s="442">
        <v>22500</v>
      </c>
      <c r="AJ31" s="442">
        <v>25000</v>
      </c>
      <c r="AK31" s="441">
        <v>0</v>
      </c>
    </row>
    <row r="32" spans="1:37" s="376" customFormat="1" ht="45.75" customHeight="1" x14ac:dyDescent="0.25">
      <c r="A32" s="531"/>
      <c r="B32" s="528"/>
      <c r="C32" s="547"/>
      <c r="D32" s="513" t="s">
        <v>48</v>
      </c>
      <c r="E32" s="512" t="s">
        <v>454</v>
      </c>
      <c r="F32" s="531" t="s">
        <v>443</v>
      </c>
      <c r="G32" s="535"/>
      <c r="H32" s="536"/>
      <c r="I32" s="535"/>
      <c r="J32" s="537"/>
      <c r="K32" s="538">
        <v>12</v>
      </c>
      <c r="L32" s="524">
        <f>SUM(L33:L35)</f>
        <v>392908</v>
      </c>
      <c r="M32" s="524">
        <f t="shared" ref="M32:AA32" si="12">SUM(M33:M35)</f>
        <v>259</v>
      </c>
      <c r="N32" s="524">
        <f t="shared" si="12"/>
        <v>392890</v>
      </c>
      <c r="O32" s="524">
        <f t="shared" si="12"/>
        <v>390190</v>
      </c>
      <c r="P32" s="524">
        <f t="shared" si="12"/>
        <v>0</v>
      </c>
      <c r="Q32" s="543">
        <f t="shared" si="12"/>
        <v>0</v>
      </c>
      <c r="R32" s="524">
        <f t="shared" si="12"/>
        <v>0</v>
      </c>
      <c r="S32" s="543">
        <f t="shared" si="12"/>
        <v>0</v>
      </c>
      <c r="T32" s="524">
        <f t="shared" si="12"/>
        <v>197</v>
      </c>
      <c r="U32" s="543">
        <f>SUM(U33:U35)</f>
        <v>122858.4</v>
      </c>
      <c r="V32" s="543">
        <f>SUM(V33:V35)</f>
        <v>0</v>
      </c>
      <c r="W32" s="543">
        <f>SUM(W33:W35)</f>
        <v>0</v>
      </c>
      <c r="X32" s="524">
        <f t="shared" si="12"/>
        <v>197</v>
      </c>
      <c r="Y32" s="539">
        <f t="shared" si="12"/>
        <v>122858.4</v>
      </c>
      <c r="Z32" s="539">
        <f t="shared" si="12"/>
        <v>100</v>
      </c>
      <c r="AA32" s="539">
        <f t="shared" si="12"/>
        <v>98.832274153326367</v>
      </c>
      <c r="AB32" s="523"/>
      <c r="AC32" s="520"/>
      <c r="AD32" s="525"/>
      <c r="AE32" s="524"/>
      <c r="AF32" s="531"/>
    </row>
    <row r="33" spans="1:41" ht="39" customHeight="1" x14ac:dyDescent="0.25">
      <c r="A33" s="7">
        <v>12</v>
      </c>
      <c r="B33" s="384" t="s">
        <v>257</v>
      </c>
      <c r="C33" s="381" t="s">
        <v>256</v>
      </c>
      <c r="D33" s="6" t="s">
        <v>49</v>
      </c>
      <c r="E33" s="4" t="s">
        <v>100</v>
      </c>
      <c r="F33" s="15" t="s">
        <v>251</v>
      </c>
      <c r="G33" s="418">
        <v>48</v>
      </c>
      <c r="H33" s="142">
        <v>455000</v>
      </c>
      <c r="I33" s="418">
        <v>0</v>
      </c>
      <c r="J33" s="142">
        <v>0</v>
      </c>
      <c r="K33" s="19">
        <v>12</v>
      </c>
      <c r="L33" s="9">
        <v>124319</v>
      </c>
      <c r="M33" s="19">
        <v>197</v>
      </c>
      <c r="N33" s="9">
        <v>124310</v>
      </c>
      <c r="O33" s="9">
        <v>124310</v>
      </c>
      <c r="P33" s="19">
        <v>0</v>
      </c>
      <c r="Q33" s="9">
        <v>0</v>
      </c>
      <c r="R33" s="805">
        <v>0</v>
      </c>
      <c r="S33" s="284">
        <v>0</v>
      </c>
      <c r="T33" s="19">
        <v>197</v>
      </c>
      <c r="U33" s="23">
        <v>122858.4</v>
      </c>
      <c r="V33" s="19"/>
      <c r="W33" s="9"/>
      <c r="X33" s="19">
        <f t="shared" si="1"/>
        <v>197</v>
      </c>
      <c r="Y33" s="68">
        <f t="shared" si="1"/>
        <v>122858.4</v>
      </c>
      <c r="Z33" s="410">
        <f t="shared" ref="Z33:AA35" si="13">X33/M33*100</f>
        <v>100</v>
      </c>
      <c r="AA33" s="29">
        <f t="shared" si="13"/>
        <v>98.832274153326367</v>
      </c>
      <c r="AB33" s="455">
        <f t="shared" ref="AB33:AB41" si="14">I33+X33</f>
        <v>197</v>
      </c>
      <c r="AC33" s="142">
        <f t="shared" si="3"/>
        <v>122858.4</v>
      </c>
      <c r="AD33" s="433">
        <f t="shared" ref="AD33:AE35" si="15">AB33/G33*100</f>
        <v>410.41666666666669</v>
      </c>
      <c r="AE33" s="420">
        <f t="shared" si="15"/>
        <v>27.001846153846152</v>
      </c>
      <c r="AF33" s="7"/>
    </row>
    <row r="34" spans="1:41" ht="39.75" customHeight="1" x14ac:dyDescent="0.25">
      <c r="A34" s="7">
        <v>13</v>
      </c>
      <c r="B34" s="384" t="s">
        <v>226</v>
      </c>
      <c r="C34" s="381" t="s">
        <v>176</v>
      </c>
      <c r="D34" s="6" t="s">
        <v>50</v>
      </c>
      <c r="E34" s="4" t="s">
        <v>102</v>
      </c>
      <c r="F34" s="15" t="s">
        <v>251</v>
      </c>
      <c r="G34" s="418">
        <v>60</v>
      </c>
      <c r="H34" s="142">
        <v>865750</v>
      </c>
      <c r="I34" s="418">
        <v>18</v>
      </c>
      <c r="J34" s="142">
        <f>0+143875+0+0</f>
        <v>143875</v>
      </c>
      <c r="K34" s="19">
        <v>12</v>
      </c>
      <c r="L34" s="9">
        <v>179270</v>
      </c>
      <c r="M34" s="19">
        <v>47</v>
      </c>
      <c r="N34" s="9">
        <v>179270</v>
      </c>
      <c r="O34" s="9">
        <v>176570</v>
      </c>
      <c r="P34" s="19">
        <v>0</v>
      </c>
      <c r="Q34" s="9">
        <v>0</v>
      </c>
      <c r="R34" s="805">
        <v>0</v>
      </c>
      <c r="S34" s="284">
        <v>0</v>
      </c>
      <c r="T34" s="19">
        <v>0</v>
      </c>
      <c r="U34" s="9">
        <v>0</v>
      </c>
      <c r="V34" s="19"/>
      <c r="W34" s="9"/>
      <c r="X34" s="19">
        <f t="shared" si="1"/>
        <v>0</v>
      </c>
      <c r="Y34" s="68">
        <f t="shared" si="1"/>
        <v>0</v>
      </c>
      <c r="Z34" s="410">
        <f t="shared" si="13"/>
        <v>0</v>
      </c>
      <c r="AA34" s="29">
        <f t="shared" si="13"/>
        <v>0</v>
      </c>
      <c r="AB34" s="455">
        <f t="shared" si="14"/>
        <v>18</v>
      </c>
      <c r="AC34" s="142">
        <f t="shared" si="3"/>
        <v>143875</v>
      </c>
      <c r="AD34" s="433">
        <f t="shared" si="15"/>
        <v>30</v>
      </c>
      <c r="AE34" s="420">
        <f t="shared" si="15"/>
        <v>16.618538839156802</v>
      </c>
      <c r="AF34" s="7"/>
    </row>
    <row r="35" spans="1:41" ht="49.5" customHeight="1" x14ac:dyDescent="0.25">
      <c r="A35" s="7">
        <v>14</v>
      </c>
      <c r="B35" s="384" t="s">
        <v>227</v>
      </c>
      <c r="C35" s="381" t="s">
        <v>177</v>
      </c>
      <c r="D35" s="6" t="s">
        <v>51</v>
      </c>
      <c r="E35" s="4" t="s">
        <v>103</v>
      </c>
      <c r="F35" s="15" t="s">
        <v>251</v>
      </c>
      <c r="G35" s="418">
        <v>60</v>
      </c>
      <c r="H35" s="142">
        <v>397500</v>
      </c>
      <c r="I35" s="418">
        <f>15+9+0+0</f>
        <v>24</v>
      </c>
      <c r="J35" s="142">
        <f>98280+51400+0+0</f>
        <v>149680</v>
      </c>
      <c r="K35" s="19">
        <v>12</v>
      </c>
      <c r="L35" s="9">
        <v>89319</v>
      </c>
      <c r="M35" s="19">
        <v>15</v>
      </c>
      <c r="N35" s="9">
        <v>89310</v>
      </c>
      <c r="O35" s="9">
        <v>89310</v>
      </c>
      <c r="P35" s="19">
        <v>0</v>
      </c>
      <c r="Q35" s="9">
        <v>0</v>
      </c>
      <c r="R35" s="805">
        <v>0</v>
      </c>
      <c r="S35" s="284">
        <v>0</v>
      </c>
      <c r="T35" s="19">
        <v>0</v>
      </c>
      <c r="U35" s="9">
        <v>0</v>
      </c>
      <c r="V35" s="19"/>
      <c r="W35" s="9"/>
      <c r="X35" s="19">
        <f t="shared" si="1"/>
        <v>0</v>
      </c>
      <c r="Y35" s="68">
        <f t="shared" si="1"/>
        <v>0</v>
      </c>
      <c r="Z35" s="410">
        <f t="shared" si="13"/>
        <v>0</v>
      </c>
      <c r="AA35" s="29">
        <f t="shared" si="13"/>
        <v>0</v>
      </c>
      <c r="AB35" s="455">
        <f t="shared" si="14"/>
        <v>24</v>
      </c>
      <c r="AC35" s="142">
        <f t="shared" si="3"/>
        <v>149680</v>
      </c>
      <c r="AD35" s="433">
        <f t="shared" si="15"/>
        <v>40</v>
      </c>
      <c r="AE35" s="420">
        <f t="shared" si="15"/>
        <v>37.655345911949681</v>
      </c>
      <c r="AF35" s="7"/>
    </row>
    <row r="36" spans="1:41" s="376" customFormat="1" ht="52.5" customHeight="1" x14ac:dyDescent="0.25">
      <c r="A36" s="531"/>
      <c r="B36" s="528"/>
      <c r="C36" s="547"/>
      <c r="D36" s="513" t="s">
        <v>55</v>
      </c>
      <c r="E36" s="512" t="s">
        <v>455</v>
      </c>
      <c r="F36" s="531" t="s">
        <v>443</v>
      </c>
      <c r="G36" s="718"/>
      <c r="H36" s="719"/>
      <c r="I36" s="718"/>
      <c r="J36" s="720"/>
      <c r="K36" s="862">
        <f>SUM(K37:K39)</f>
        <v>163</v>
      </c>
      <c r="L36" s="862">
        <f t="shared" ref="L36:AA36" si="16">SUM(L37:L39)</f>
        <v>449282.52800000005</v>
      </c>
      <c r="M36" s="862">
        <f t="shared" si="16"/>
        <v>89</v>
      </c>
      <c r="N36" s="862">
        <f t="shared" si="16"/>
        <v>449166.86</v>
      </c>
      <c r="O36" s="862">
        <f t="shared" si="16"/>
        <v>449166.86</v>
      </c>
      <c r="P36" s="860">
        <f t="shared" si="16"/>
        <v>18</v>
      </c>
      <c r="Q36" s="862">
        <f t="shared" si="16"/>
        <v>49343.186999999998</v>
      </c>
      <c r="R36" s="860">
        <f t="shared" si="16"/>
        <v>20</v>
      </c>
      <c r="S36" s="862">
        <f t="shared" si="16"/>
        <v>50531.500000000007</v>
      </c>
      <c r="T36" s="860">
        <f t="shared" si="16"/>
        <v>23</v>
      </c>
      <c r="U36" s="862">
        <f t="shared" si="16"/>
        <v>90019.28</v>
      </c>
      <c r="V36" s="862">
        <f t="shared" si="16"/>
        <v>0</v>
      </c>
      <c r="W36" s="862">
        <f t="shared" si="16"/>
        <v>0</v>
      </c>
      <c r="X36" s="860">
        <f t="shared" si="16"/>
        <v>61</v>
      </c>
      <c r="Y36" s="862">
        <f t="shared" si="16"/>
        <v>189893.967</v>
      </c>
      <c r="Z36" s="861">
        <f t="shared" si="16"/>
        <v>221.40350877192984</v>
      </c>
      <c r="AA36" s="862">
        <f t="shared" si="16"/>
        <v>141.99540435081155</v>
      </c>
      <c r="AB36" s="878">
        <f t="shared" si="14"/>
        <v>61</v>
      </c>
      <c r="AC36" s="739"/>
      <c r="AD36" s="844"/>
      <c r="AE36" s="845"/>
      <c r="AF36" s="531"/>
    </row>
    <row r="37" spans="1:41" ht="76.5" customHeight="1" x14ac:dyDescent="0.25">
      <c r="A37" s="7">
        <v>15</v>
      </c>
      <c r="B37" s="384" t="s">
        <v>207</v>
      </c>
      <c r="C37" s="381" t="s">
        <v>179</v>
      </c>
      <c r="D37" s="6" t="s">
        <v>56</v>
      </c>
      <c r="E37" s="4" t="s">
        <v>106</v>
      </c>
      <c r="F37" s="15" t="s">
        <v>251</v>
      </c>
      <c r="G37" s="418">
        <v>60</v>
      </c>
      <c r="H37" s="142">
        <v>797500</v>
      </c>
      <c r="I37" s="418">
        <v>48</v>
      </c>
      <c r="J37" s="431">
        <f>173586+140975+196861+166202.989</f>
        <v>677624.98900000006</v>
      </c>
      <c r="K37" s="19">
        <v>33</v>
      </c>
      <c r="L37" s="23">
        <v>199340.7</v>
      </c>
      <c r="M37" s="19">
        <v>20</v>
      </c>
      <c r="N37" s="29">
        <v>199340.22</v>
      </c>
      <c r="O37" s="29">
        <v>199340.22</v>
      </c>
      <c r="P37" s="19">
        <v>5</v>
      </c>
      <c r="Q37" s="68">
        <v>42133.186999999998</v>
      </c>
      <c r="R37" s="805">
        <v>7</v>
      </c>
      <c r="S37" s="76">
        <f>81224.687-Q37</f>
        <v>39091.500000000007</v>
      </c>
      <c r="T37" s="19">
        <v>5</v>
      </c>
      <c r="U37" s="9">
        <f>131503.967-Q37-S37</f>
        <v>50279.279999999992</v>
      </c>
      <c r="V37" s="19"/>
      <c r="W37" s="9"/>
      <c r="X37" s="19">
        <f t="shared" ref="X37:Y39" si="17">P37+R37+T37+V37</f>
        <v>17</v>
      </c>
      <c r="Y37" s="68">
        <f t="shared" si="17"/>
        <v>131503.967</v>
      </c>
      <c r="Z37" s="410">
        <f t="shared" ref="Z37:AA42" si="18">X37/M37*100</f>
        <v>85</v>
      </c>
      <c r="AA37" s="29">
        <f t="shared" si="18"/>
        <v>65.969610648568562</v>
      </c>
      <c r="AB37" s="455">
        <f t="shared" si="14"/>
        <v>65</v>
      </c>
      <c r="AC37" s="142">
        <f>Y37+J37</f>
        <v>809128.95600000001</v>
      </c>
      <c r="AD37" s="433">
        <f>AB37/G37*100</f>
        <v>108.33333333333333</v>
      </c>
      <c r="AE37" s="431">
        <f>AC37/H37*100</f>
        <v>101.45817630094045</v>
      </c>
      <c r="AF37" s="7"/>
      <c r="AO37" s="53">
        <f>145/6</f>
        <v>24.166666666666668</v>
      </c>
    </row>
    <row r="38" spans="1:41" ht="46.5" customHeight="1" x14ac:dyDescent="0.25">
      <c r="A38" s="7">
        <v>16</v>
      </c>
      <c r="B38" s="384" t="s">
        <v>208</v>
      </c>
      <c r="C38" s="381" t="s">
        <v>178</v>
      </c>
      <c r="D38" s="6" t="s">
        <v>57</v>
      </c>
      <c r="E38" s="4" t="s">
        <v>107</v>
      </c>
      <c r="F38" s="15" t="s">
        <v>251</v>
      </c>
      <c r="G38" s="418">
        <v>60</v>
      </c>
      <c r="H38" s="142">
        <v>825000</v>
      </c>
      <c r="I38" s="418">
        <v>48</v>
      </c>
      <c r="J38" s="142">
        <f>0+147510+57940+64578</f>
        <v>270028</v>
      </c>
      <c r="K38" s="19">
        <v>12</v>
      </c>
      <c r="L38" s="29">
        <v>199984.64000000001</v>
      </c>
      <c r="M38" s="19">
        <v>12</v>
      </c>
      <c r="N38" s="29">
        <v>199982.64</v>
      </c>
      <c r="O38" s="29">
        <v>199982.64</v>
      </c>
      <c r="P38" s="19">
        <v>3</v>
      </c>
      <c r="Q38" s="9">
        <v>0</v>
      </c>
      <c r="R38" s="805">
        <v>3</v>
      </c>
      <c r="S38" s="284">
        <v>0</v>
      </c>
      <c r="T38" s="19">
        <v>3</v>
      </c>
      <c r="U38" s="9">
        <v>27300</v>
      </c>
      <c r="V38" s="19"/>
      <c r="W38" s="9"/>
      <c r="X38" s="19">
        <f t="shared" si="17"/>
        <v>9</v>
      </c>
      <c r="Y38" s="68">
        <f t="shared" si="17"/>
        <v>27300</v>
      </c>
      <c r="Z38" s="410">
        <f t="shared" si="18"/>
        <v>75</v>
      </c>
      <c r="AA38" s="29">
        <f t="shared" si="18"/>
        <v>13.651184922851304</v>
      </c>
      <c r="AB38" s="455">
        <f t="shared" si="14"/>
        <v>57</v>
      </c>
      <c r="AC38" s="142">
        <f>Y38+J38</f>
        <v>297328</v>
      </c>
      <c r="AD38" s="433">
        <v>0</v>
      </c>
      <c r="AE38" s="420">
        <f>AC38/H38*100</f>
        <v>36.039757575757577</v>
      </c>
      <c r="AF38" s="7"/>
      <c r="AO38" s="53">
        <f>234/12</f>
        <v>19.5</v>
      </c>
    </row>
    <row r="39" spans="1:41" ht="59.25" customHeight="1" x14ac:dyDescent="0.25">
      <c r="A39" s="7">
        <v>17</v>
      </c>
      <c r="B39" s="384" t="s">
        <v>209</v>
      </c>
      <c r="C39" s="381" t="s">
        <v>192</v>
      </c>
      <c r="D39" s="6" t="s">
        <v>58</v>
      </c>
      <c r="E39" s="4" t="s">
        <v>108</v>
      </c>
      <c r="F39" s="15" t="s">
        <v>251</v>
      </c>
      <c r="G39" s="418">
        <v>60</v>
      </c>
      <c r="H39" s="142">
        <v>230000</v>
      </c>
      <c r="I39" s="418">
        <v>48</v>
      </c>
      <c r="J39" s="142">
        <f>0+29650+30450+15505</f>
        <v>75605</v>
      </c>
      <c r="K39" s="19">
        <v>118</v>
      </c>
      <c r="L39" s="68">
        <v>49957.188000000002</v>
      </c>
      <c r="M39" s="19">
        <v>57</v>
      </c>
      <c r="N39" s="9">
        <v>49844</v>
      </c>
      <c r="O39" s="9">
        <v>49844</v>
      </c>
      <c r="P39" s="9">
        <v>10</v>
      </c>
      <c r="Q39" s="9">
        <v>7210</v>
      </c>
      <c r="R39" s="805">
        <v>10</v>
      </c>
      <c r="S39" s="284">
        <v>11440</v>
      </c>
      <c r="T39" s="19">
        <v>15</v>
      </c>
      <c r="U39" s="9">
        <f>31090-Q39-S39</f>
        <v>12440</v>
      </c>
      <c r="V39" s="19"/>
      <c r="W39" s="9"/>
      <c r="X39" s="19">
        <f t="shared" si="17"/>
        <v>35</v>
      </c>
      <c r="Y39" s="68">
        <f t="shared" si="17"/>
        <v>31090</v>
      </c>
      <c r="Z39" s="410">
        <f t="shared" si="18"/>
        <v>61.403508771929829</v>
      </c>
      <c r="AA39" s="29">
        <f t="shared" si="18"/>
        <v>62.374608779391707</v>
      </c>
      <c r="AB39" s="455">
        <f t="shared" si="14"/>
        <v>83</v>
      </c>
      <c r="AC39" s="142">
        <f>Y39+J39</f>
        <v>106695</v>
      </c>
      <c r="AD39" s="433">
        <f>AB39/G39*100</f>
        <v>138.33333333333334</v>
      </c>
      <c r="AE39" s="420">
        <f>AC39/H39*100</f>
        <v>46.389130434782608</v>
      </c>
      <c r="AF39" s="7"/>
    </row>
    <row r="40" spans="1:41" s="376" customFormat="1" ht="65.25" customHeight="1" x14ac:dyDescent="0.25">
      <c r="A40" s="553" t="s">
        <v>5</v>
      </c>
      <c r="B40" s="566" t="s">
        <v>210</v>
      </c>
      <c r="C40" s="824" t="s">
        <v>167</v>
      </c>
      <c r="D40" s="463" t="s">
        <v>31</v>
      </c>
      <c r="E40" s="554" t="s">
        <v>109</v>
      </c>
      <c r="F40" s="555" t="s">
        <v>93</v>
      </c>
      <c r="G40" s="556">
        <v>100</v>
      </c>
      <c r="H40" s="568">
        <v>4578929</v>
      </c>
      <c r="I40" s="569">
        <v>60</v>
      </c>
      <c r="J40" s="568">
        <v>2568602</v>
      </c>
      <c r="K40" s="556">
        <v>100</v>
      </c>
      <c r="L40" s="559">
        <f>L44+L46+L47+L49+L50+L51+L53+L55+L56+L57+L58+L59+L60+L61-L49-L50-L51-L53</f>
        <v>818319.25</v>
      </c>
      <c r="M40" s="556">
        <v>100</v>
      </c>
      <c r="N40" s="570">
        <f>N44+N46+N47+N49+N50+N51+N53+N55+N56+N57+N58+N59+N60+N61-N49-N50-N51-N53</f>
        <v>918318.85000000009</v>
      </c>
      <c r="O40" s="570">
        <f>O44+O46+O47+O49+O50+O51+O53+O55+O56+O57+O58+O59+O60+O61-O49-O50-O51-O53</f>
        <v>873543.85000000009</v>
      </c>
      <c r="P40" s="556">
        <v>25</v>
      </c>
      <c r="Q40" s="571">
        <f>Q44+Q46+Q47+Q49+Q50+Q51+Q53+Q55+Q56+Q57+Q58+Q59+Q60+Q61</f>
        <v>76207.899999999994</v>
      </c>
      <c r="R40" s="569">
        <v>25</v>
      </c>
      <c r="S40" s="568">
        <f>S44+S46+S47+S49+S50+S51+S53+S55+S56+S57+S58+S59+S60+S61</f>
        <v>386632.44999999995</v>
      </c>
      <c r="T40" s="569">
        <v>25</v>
      </c>
      <c r="U40" s="568">
        <f>U44+U46+U47+U49+U50+U51+U53+U55+U56+U57+U58+U59+U60+U61</f>
        <v>373351.6</v>
      </c>
      <c r="V40" s="568">
        <f>V44+V46+V47+V49+V50+V51+V53+V55+V56+V57+V58+V59+V60+V61</f>
        <v>0</v>
      </c>
      <c r="W40" s="568">
        <f>W44+W46+W47+W49+W50+W51+W53+W55+W56+W57+W58+W59+W60+W61</f>
        <v>0</v>
      </c>
      <c r="X40" s="556">
        <f t="shared" si="1"/>
        <v>75</v>
      </c>
      <c r="Y40" s="562">
        <f t="shared" si="1"/>
        <v>836191.95</v>
      </c>
      <c r="Z40" s="558">
        <f t="shared" si="18"/>
        <v>75</v>
      </c>
      <c r="AA40" s="559">
        <f t="shared" si="18"/>
        <v>91.056820841693479</v>
      </c>
      <c r="AB40" s="558">
        <f t="shared" si="14"/>
        <v>135</v>
      </c>
      <c r="AC40" s="562">
        <f t="shared" si="3"/>
        <v>3404793.95</v>
      </c>
      <c r="AD40" s="573">
        <f>AB40/G40*100</f>
        <v>135</v>
      </c>
      <c r="AE40" s="558">
        <f>AC40/H40*100</f>
        <v>74.357867309145874</v>
      </c>
      <c r="AF40" s="555"/>
    </row>
    <row r="41" spans="1:41" s="376" customFormat="1" ht="65.25" customHeight="1" x14ac:dyDescent="0.25">
      <c r="A41" s="553"/>
      <c r="B41" s="566"/>
      <c r="C41" s="824"/>
      <c r="D41" s="463"/>
      <c r="E41" s="554" t="s">
        <v>431</v>
      </c>
      <c r="F41" s="555" t="s">
        <v>93</v>
      </c>
      <c r="G41" s="556">
        <v>100</v>
      </c>
      <c r="H41" s="568">
        <v>550000</v>
      </c>
      <c r="I41" s="569">
        <v>96.26</v>
      </c>
      <c r="J41" s="570">
        <f>J53</f>
        <v>173381.7</v>
      </c>
      <c r="K41" s="556">
        <v>70.37</v>
      </c>
      <c r="L41" s="559">
        <f>L53</f>
        <v>109992.5</v>
      </c>
      <c r="M41" s="556">
        <v>70.37</v>
      </c>
      <c r="N41" s="570">
        <f>N53</f>
        <v>109992.5</v>
      </c>
      <c r="O41" s="570">
        <f>O53</f>
        <v>109992.5</v>
      </c>
      <c r="P41" s="556">
        <v>0</v>
      </c>
      <c r="Q41" s="571">
        <f>Q53</f>
        <v>7777.4</v>
      </c>
      <c r="R41" s="569">
        <v>70.37</v>
      </c>
      <c r="S41" s="568">
        <f>S53</f>
        <v>264832.14999999997</v>
      </c>
      <c r="T41" s="569">
        <v>0</v>
      </c>
      <c r="U41" s="568">
        <f>U53</f>
        <v>60975</v>
      </c>
      <c r="V41" s="568">
        <f>V53</f>
        <v>0</v>
      </c>
      <c r="W41" s="568">
        <f>W53</f>
        <v>0</v>
      </c>
      <c r="X41" s="556">
        <f t="shared" si="1"/>
        <v>70.37</v>
      </c>
      <c r="Y41" s="562">
        <f t="shared" si="1"/>
        <v>333584.55</v>
      </c>
      <c r="Z41" s="558">
        <f t="shared" si="18"/>
        <v>100</v>
      </c>
      <c r="AA41" s="559">
        <f t="shared" si="18"/>
        <v>303.27935995636068</v>
      </c>
      <c r="AB41" s="558">
        <f t="shared" si="14"/>
        <v>166.63</v>
      </c>
      <c r="AC41" s="562">
        <f t="shared" si="3"/>
        <v>506966.25</v>
      </c>
      <c r="AD41" s="573">
        <f>AB41/G41*100</f>
        <v>166.63</v>
      </c>
      <c r="AE41" s="558">
        <f>AC41/H41*100</f>
        <v>92.175681818181815</v>
      </c>
      <c r="AF41" s="555"/>
    </row>
    <row r="42" spans="1:41" s="376" customFormat="1" ht="65.25" customHeight="1" x14ac:dyDescent="0.25">
      <c r="A42" s="553"/>
      <c r="B42" s="566"/>
      <c r="C42" s="824"/>
      <c r="D42" s="463"/>
      <c r="E42" s="554" t="s">
        <v>430</v>
      </c>
      <c r="F42" s="555" t="s">
        <v>93</v>
      </c>
      <c r="G42" s="556">
        <v>2.23</v>
      </c>
      <c r="H42" s="568">
        <v>2125000</v>
      </c>
      <c r="I42" s="569">
        <v>1.36</v>
      </c>
      <c r="J42" s="568">
        <v>1529346</v>
      </c>
      <c r="K42" s="556">
        <v>1.96</v>
      </c>
      <c r="L42" s="559">
        <f>SUM(L49:L51)</f>
        <v>396320</v>
      </c>
      <c r="M42" s="556">
        <v>1.96</v>
      </c>
      <c r="N42" s="570">
        <f>SUM(N49:N51)</f>
        <v>396319.8</v>
      </c>
      <c r="O42" s="570">
        <f>SUM(O49:O51)</f>
        <v>335567.3</v>
      </c>
      <c r="P42" s="556">
        <v>1.36</v>
      </c>
      <c r="Q42" s="571">
        <f>SUM(Q49:Q51)</f>
        <v>2875.2</v>
      </c>
      <c r="R42" s="569">
        <v>1.4E-2</v>
      </c>
      <c r="S42" s="568">
        <f>SUM(S49:S51)</f>
        <v>24880.3</v>
      </c>
      <c r="T42" s="569">
        <v>0</v>
      </c>
      <c r="U42" s="568">
        <f>SUM(U49:U51)</f>
        <v>197302.6</v>
      </c>
      <c r="V42" s="568">
        <f>SUM(V49:V51)</f>
        <v>0</v>
      </c>
      <c r="W42" s="568">
        <f>SUM(W49:W51)</f>
        <v>0</v>
      </c>
      <c r="X42" s="556">
        <f t="shared" si="1"/>
        <v>1.3740000000000001</v>
      </c>
      <c r="Y42" s="562">
        <f t="shared" si="1"/>
        <v>225058.1</v>
      </c>
      <c r="Z42" s="558">
        <f t="shared" si="18"/>
        <v>70.102040816326536</v>
      </c>
      <c r="AA42" s="559">
        <f t="shared" si="18"/>
        <v>56.786993735866844</v>
      </c>
      <c r="AB42" s="558">
        <f>+X42</f>
        <v>1.3740000000000001</v>
      </c>
      <c r="AC42" s="562">
        <f t="shared" si="3"/>
        <v>1754404.1</v>
      </c>
      <c r="AD42" s="573">
        <f>AB42/G42*100</f>
        <v>61.61434977578476</v>
      </c>
      <c r="AE42" s="558">
        <f>AC42/H42*100</f>
        <v>82.560192941176481</v>
      </c>
      <c r="AF42" s="555"/>
    </row>
    <row r="43" spans="1:41" s="376" customFormat="1" ht="45.75" customHeight="1" x14ac:dyDescent="0.25">
      <c r="A43" s="531"/>
      <c r="B43" s="528"/>
      <c r="C43" s="547"/>
      <c r="D43" s="513" t="s">
        <v>59</v>
      </c>
      <c r="E43" s="512" t="s">
        <v>450</v>
      </c>
      <c r="F43" s="531" t="s">
        <v>442</v>
      </c>
      <c r="G43" s="535"/>
      <c r="H43" s="536"/>
      <c r="I43" s="535"/>
      <c r="J43" s="728"/>
      <c r="K43" s="538">
        <f>SUM(K44)</f>
        <v>140</v>
      </c>
      <c r="L43" s="860">
        <f t="shared" ref="L43:AA43" si="19">SUM(L44)</f>
        <v>28000</v>
      </c>
      <c r="M43" s="538">
        <f t="shared" si="19"/>
        <v>27</v>
      </c>
      <c r="N43" s="860">
        <f t="shared" si="19"/>
        <v>28000</v>
      </c>
      <c r="O43" s="860">
        <f t="shared" si="19"/>
        <v>28000</v>
      </c>
      <c r="P43" s="538">
        <f t="shared" si="19"/>
        <v>0</v>
      </c>
      <c r="Q43" s="538">
        <f t="shared" si="19"/>
        <v>0</v>
      </c>
      <c r="R43" s="538">
        <f t="shared" si="19"/>
        <v>0</v>
      </c>
      <c r="S43" s="538">
        <f t="shared" si="19"/>
        <v>0</v>
      </c>
      <c r="T43" s="538">
        <f t="shared" si="19"/>
        <v>0</v>
      </c>
      <c r="U43" s="538">
        <f t="shared" si="19"/>
        <v>0</v>
      </c>
      <c r="V43" s="538">
        <f t="shared" si="19"/>
        <v>0</v>
      </c>
      <c r="W43" s="538">
        <f t="shared" si="19"/>
        <v>0</v>
      </c>
      <c r="X43" s="538">
        <f t="shared" si="19"/>
        <v>0</v>
      </c>
      <c r="Y43" s="538">
        <f t="shared" si="19"/>
        <v>0</v>
      </c>
      <c r="Z43" s="538">
        <f t="shared" si="19"/>
        <v>0</v>
      </c>
      <c r="AA43" s="538">
        <f t="shared" si="19"/>
        <v>0</v>
      </c>
      <c r="AB43" s="523"/>
      <c r="AC43" s="524"/>
      <c r="AD43" s="545"/>
      <c r="AE43" s="524"/>
      <c r="AF43" s="531"/>
    </row>
    <row r="44" spans="1:41" ht="66.75" customHeight="1" x14ac:dyDescent="0.25">
      <c r="A44" s="7">
        <v>18</v>
      </c>
      <c r="B44" s="384" t="s">
        <v>211</v>
      </c>
      <c r="C44" s="381" t="s">
        <v>29</v>
      </c>
      <c r="D44" s="6" t="s">
        <v>60</v>
      </c>
      <c r="E44" s="4" t="s">
        <v>110</v>
      </c>
      <c r="F44" s="15" t="s">
        <v>250</v>
      </c>
      <c r="G44" s="418">
        <v>625</v>
      </c>
      <c r="H44" s="142">
        <v>135000</v>
      </c>
      <c r="I44" s="418">
        <v>110</v>
      </c>
      <c r="J44" s="142">
        <f>25000+40000+0</f>
        <v>65000</v>
      </c>
      <c r="K44" s="19">
        <v>140</v>
      </c>
      <c r="L44" s="9">
        <v>28000</v>
      </c>
      <c r="M44" s="19">
        <v>27</v>
      </c>
      <c r="N44" s="9">
        <v>28000</v>
      </c>
      <c r="O44" s="9">
        <v>28000</v>
      </c>
      <c r="P44" s="19">
        <v>0</v>
      </c>
      <c r="Q44" s="9">
        <v>0</v>
      </c>
      <c r="R44" s="805">
        <v>0</v>
      </c>
      <c r="S44" s="284">
        <v>0</v>
      </c>
      <c r="T44" s="19">
        <v>0</v>
      </c>
      <c r="U44" s="9">
        <v>0</v>
      </c>
      <c r="V44" s="19"/>
      <c r="W44" s="9"/>
      <c r="X44" s="19">
        <f t="shared" si="1"/>
        <v>0</v>
      </c>
      <c r="Y44" s="68">
        <f t="shared" si="1"/>
        <v>0</v>
      </c>
      <c r="Z44" s="410">
        <f t="shared" ref="Z44:AA47" si="20">X44/M44*100</f>
        <v>0</v>
      </c>
      <c r="AA44" s="29">
        <f t="shared" si="20"/>
        <v>0</v>
      </c>
      <c r="AB44" s="455">
        <f>I44+X44</f>
        <v>110</v>
      </c>
      <c r="AC44" s="142">
        <f t="shared" si="3"/>
        <v>65000</v>
      </c>
      <c r="AD44" s="141">
        <f>AB44/G44*100</f>
        <v>17.599999999999998</v>
      </c>
      <c r="AE44" s="420">
        <f>AC44/H44*100</f>
        <v>48.148148148148145</v>
      </c>
      <c r="AF44" s="7"/>
      <c r="AG44" s="53" t="s">
        <v>417</v>
      </c>
    </row>
    <row r="45" spans="1:41" s="376" customFormat="1" ht="49.5" customHeight="1" x14ac:dyDescent="0.25">
      <c r="A45" s="531"/>
      <c r="B45" s="528"/>
      <c r="C45" s="547"/>
      <c r="D45" s="513" t="s">
        <v>32</v>
      </c>
      <c r="E45" s="512" t="s">
        <v>449</v>
      </c>
      <c r="F45" s="531" t="s">
        <v>441</v>
      </c>
      <c r="G45" s="718"/>
      <c r="H45" s="719"/>
      <c r="I45" s="718"/>
      <c r="J45" s="719"/>
      <c r="K45" s="538">
        <f>SUM(K46:K61)</f>
        <v>2112</v>
      </c>
      <c r="L45" s="862">
        <f t="shared" ref="L45:Y45" si="21">SUM(L46:L61)</f>
        <v>1296631.75</v>
      </c>
      <c r="M45" s="538">
        <f t="shared" si="21"/>
        <v>1638</v>
      </c>
      <c r="N45" s="862">
        <f t="shared" si="21"/>
        <v>1396631.1500000001</v>
      </c>
      <c r="O45" s="862">
        <f t="shared" si="21"/>
        <v>1291103.6500000001</v>
      </c>
      <c r="P45" s="538">
        <f t="shared" si="21"/>
        <v>24</v>
      </c>
      <c r="Q45" s="862">
        <f t="shared" si="21"/>
        <v>76207.899999999994</v>
      </c>
      <c r="R45" s="538">
        <f t="shared" si="21"/>
        <v>763</v>
      </c>
      <c r="S45" s="862">
        <f t="shared" si="21"/>
        <v>386632.44999999995</v>
      </c>
      <c r="T45" s="538">
        <f t="shared" si="21"/>
        <v>98</v>
      </c>
      <c r="U45" s="538">
        <f t="shared" si="21"/>
        <v>373351.6</v>
      </c>
      <c r="V45" s="538">
        <f t="shared" si="21"/>
        <v>0</v>
      </c>
      <c r="W45" s="538">
        <f t="shared" si="21"/>
        <v>0</v>
      </c>
      <c r="X45" s="538">
        <f t="shared" si="21"/>
        <v>837</v>
      </c>
      <c r="Y45" s="863">
        <f t="shared" si="21"/>
        <v>836191.95</v>
      </c>
      <c r="Z45" s="544">
        <f t="shared" si="20"/>
        <v>51.098901098901095</v>
      </c>
      <c r="AA45" s="544">
        <f t="shared" si="20"/>
        <v>59.87206786845617</v>
      </c>
      <c r="AB45" s="843"/>
      <c r="AC45" s="739"/>
      <c r="AD45" s="846"/>
      <c r="AE45" s="845"/>
      <c r="AF45" s="531"/>
    </row>
    <row r="46" spans="1:41" ht="60" customHeight="1" x14ac:dyDescent="0.25">
      <c r="A46" s="7">
        <v>19</v>
      </c>
      <c r="B46" s="384" t="s">
        <v>267</v>
      </c>
      <c r="C46" s="381" t="s">
        <v>168</v>
      </c>
      <c r="D46" s="6" t="s">
        <v>61</v>
      </c>
      <c r="E46" s="4" t="s">
        <v>111</v>
      </c>
      <c r="F46" s="7" t="s">
        <v>112</v>
      </c>
      <c r="G46" s="418">
        <v>3000</v>
      </c>
      <c r="H46" s="142">
        <v>250000</v>
      </c>
      <c r="I46" s="418" t="s">
        <v>427</v>
      </c>
      <c r="J46" s="142">
        <f>50000+18500+0</f>
        <v>68500</v>
      </c>
      <c r="K46" s="19">
        <v>250</v>
      </c>
      <c r="L46" s="9">
        <v>50000</v>
      </c>
      <c r="M46" s="19">
        <v>250</v>
      </c>
      <c r="N46" s="9">
        <v>50000</v>
      </c>
      <c r="O46" s="9">
        <v>50000</v>
      </c>
      <c r="P46" s="19">
        <v>0</v>
      </c>
      <c r="Q46" s="9">
        <v>0</v>
      </c>
      <c r="R46" s="805">
        <v>0</v>
      </c>
      <c r="S46" s="284">
        <v>0</v>
      </c>
      <c r="T46" s="19">
        <v>0</v>
      </c>
      <c r="U46" s="9">
        <v>0</v>
      </c>
      <c r="V46" s="19"/>
      <c r="W46" s="9"/>
      <c r="X46" s="19">
        <f t="shared" si="1"/>
        <v>0</v>
      </c>
      <c r="Y46" s="68">
        <f t="shared" si="1"/>
        <v>0</v>
      </c>
      <c r="Z46" s="410">
        <f t="shared" si="20"/>
        <v>0</v>
      </c>
      <c r="AA46" s="29">
        <f t="shared" si="20"/>
        <v>0</v>
      </c>
      <c r="AB46" s="455" t="e">
        <f>I46+X46</f>
        <v>#VALUE!</v>
      </c>
      <c r="AC46" s="142">
        <f t="shared" si="3"/>
        <v>68500</v>
      </c>
      <c r="AD46" s="433" t="e">
        <f>AB46/G46*100</f>
        <v>#VALUE!</v>
      </c>
      <c r="AE46" s="420">
        <f>AC46/H46*100</f>
        <v>27.400000000000002</v>
      </c>
      <c r="AF46" s="7"/>
      <c r="AG46" s="53" t="s">
        <v>417</v>
      </c>
    </row>
    <row r="47" spans="1:41" ht="64.5" customHeight="1" x14ac:dyDescent="0.25">
      <c r="A47" s="46">
        <v>20</v>
      </c>
      <c r="B47" s="384" t="s">
        <v>212</v>
      </c>
      <c r="C47" s="381" t="s">
        <v>166</v>
      </c>
      <c r="D47" s="6" t="s">
        <v>62</v>
      </c>
      <c r="E47" s="4" t="s">
        <v>113</v>
      </c>
      <c r="F47" s="15" t="s">
        <v>249</v>
      </c>
      <c r="G47" s="418">
        <v>60</v>
      </c>
      <c r="H47" s="142">
        <v>1867500</v>
      </c>
      <c r="I47" s="418">
        <f>12+11+12+12</f>
        <v>47</v>
      </c>
      <c r="J47" s="142">
        <f>375843+359400+390000+375920</f>
        <v>1501163</v>
      </c>
      <c r="K47" s="19">
        <v>12</v>
      </c>
      <c r="L47" s="23">
        <v>374999.8</v>
      </c>
      <c r="M47" s="19">
        <v>24</v>
      </c>
      <c r="N47" s="23">
        <v>374999.8</v>
      </c>
      <c r="O47" s="23">
        <v>406199.8</v>
      </c>
      <c r="P47" s="377">
        <v>24</v>
      </c>
      <c r="Q47" s="23">
        <v>64815.5</v>
      </c>
      <c r="R47" s="805">
        <v>24</v>
      </c>
      <c r="S47" s="284">
        <f>158735.5-Q47</f>
        <v>93920</v>
      </c>
      <c r="T47" s="19">
        <v>24</v>
      </c>
      <c r="U47" s="9">
        <f>264809.5-Q47-S47</f>
        <v>106074</v>
      </c>
      <c r="V47" s="19"/>
      <c r="W47" s="9"/>
      <c r="X47" s="19">
        <v>24</v>
      </c>
      <c r="Y47" s="68">
        <f t="shared" si="1"/>
        <v>264809.5</v>
      </c>
      <c r="Z47" s="410">
        <f t="shared" si="20"/>
        <v>100</v>
      </c>
      <c r="AA47" s="29">
        <f t="shared" si="20"/>
        <v>70.615904328482316</v>
      </c>
      <c r="AB47" s="455">
        <f>I47+X47</f>
        <v>71</v>
      </c>
      <c r="AC47" s="142">
        <f t="shared" si="3"/>
        <v>1765972.5</v>
      </c>
      <c r="AD47" s="433">
        <f>AB47/G47*100</f>
        <v>118.33333333333333</v>
      </c>
      <c r="AE47" s="420">
        <f>AC47/H47*100</f>
        <v>94.563453815261042</v>
      </c>
      <c r="AF47" s="7"/>
    </row>
    <row r="48" spans="1:41" ht="73.5" customHeight="1" x14ac:dyDescent="0.25">
      <c r="A48" s="46"/>
      <c r="B48" s="694" t="s">
        <v>213</v>
      </c>
      <c r="C48" s="470" t="s">
        <v>157</v>
      </c>
      <c r="D48" s="705"/>
      <c r="E48" s="18"/>
      <c r="F48" s="7"/>
      <c r="G48" s="745"/>
      <c r="H48" s="746"/>
      <c r="I48" s="746"/>
      <c r="J48" s="746"/>
      <c r="K48" s="791"/>
      <c r="L48" s="792"/>
      <c r="M48" s="791"/>
      <c r="N48" s="793"/>
      <c r="O48" s="793"/>
      <c r="P48" s="745"/>
      <c r="Q48" s="746"/>
      <c r="R48" s="807"/>
      <c r="S48" s="811"/>
      <c r="T48" s="745"/>
      <c r="U48" s="746"/>
      <c r="V48" s="745"/>
      <c r="W48" s="746"/>
      <c r="X48" s="745"/>
      <c r="Y48" s="794"/>
      <c r="Z48" s="795"/>
      <c r="AA48" s="796"/>
      <c r="AB48" s="797"/>
      <c r="AC48" s="746"/>
      <c r="AD48" s="798"/>
      <c r="AE48" s="796"/>
      <c r="AF48" s="799"/>
    </row>
    <row r="49" spans="1:33" ht="63" customHeight="1" x14ac:dyDescent="0.25">
      <c r="A49" s="482">
        <v>21</v>
      </c>
      <c r="B49" s="688" t="s">
        <v>214</v>
      </c>
      <c r="C49" s="381" t="s">
        <v>247</v>
      </c>
      <c r="D49" s="13" t="s">
        <v>63</v>
      </c>
      <c r="E49" s="18" t="s">
        <v>114</v>
      </c>
      <c r="F49" s="333" t="s">
        <v>112</v>
      </c>
      <c r="G49" s="604">
        <v>1561</v>
      </c>
      <c r="H49" s="607">
        <v>935000</v>
      </c>
      <c r="I49" s="604">
        <f>12+3+247+1250</f>
        <v>1512</v>
      </c>
      <c r="J49" s="682">
        <f>614674+95806+119696+467421.58</f>
        <v>1297597.58</v>
      </c>
      <c r="K49" s="28">
        <v>300</v>
      </c>
      <c r="L49" s="9">
        <v>230000</v>
      </c>
      <c r="M49" s="56">
        <v>300</v>
      </c>
      <c r="N49" s="66">
        <f>8400.3+195315.7+450+17400+8800+966</f>
        <v>231332</v>
      </c>
      <c r="O49" s="66">
        <f>8400.3+195315.7+450+17400+8800+966</f>
        <v>231332</v>
      </c>
      <c r="P49" s="459">
        <v>0</v>
      </c>
      <c r="Q49" s="492">
        <v>2875.2</v>
      </c>
      <c r="R49" s="753">
        <v>300</v>
      </c>
      <c r="S49" s="809">
        <f>27755.5-Q49</f>
        <v>24880.3</v>
      </c>
      <c r="T49" s="459">
        <v>0</v>
      </c>
      <c r="U49" s="69">
        <f>225058.1-Q49-S49</f>
        <v>197302.6</v>
      </c>
      <c r="V49" s="459"/>
      <c r="W49" s="69"/>
      <c r="X49" s="459">
        <f t="shared" si="1"/>
        <v>300</v>
      </c>
      <c r="Y49" s="594">
        <f t="shared" si="1"/>
        <v>225058.1</v>
      </c>
      <c r="Z49" s="596">
        <f t="shared" ref="Z49:AA51" si="22">X49/M49*100</f>
        <v>100</v>
      </c>
      <c r="AA49" s="57">
        <f t="shared" si="22"/>
        <v>97.287923849705194</v>
      </c>
      <c r="AB49" s="839">
        <f>I49+X49</f>
        <v>1812</v>
      </c>
      <c r="AC49" s="847">
        <f t="shared" si="3"/>
        <v>1522655.6800000002</v>
      </c>
      <c r="AD49" s="841">
        <f t="shared" ref="AD49:AE51" si="23">AB49/G49*100</f>
        <v>116.07943625880846</v>
      </c>
      <c r="AE49" s="682">
        <f t="shared" si="23"/>
        <v>162.85087486631019</v>
      </c>
      <c r="AF49" s="656"/>
    </row>
    <row r="50" spans="1:33" ht="36.75" customHeight="1" x14ac:dyDescent="0.25">
      <c r="A50" s="482"/>
      <c r="B50" s="688" t="s">
        <v>215</v>
      </c>
      <c r="C50" s="381" t="s">
        <v>258</v>
      </c>
      <c r="D50" s="44"/>
      <c r="E50" s="18" t="s">
        <v>115</v>
      </c>
      <c r="F50" s="333" t="s">
        <v>112</v>
      </c>
      <c r="G50" s="626">
        <v>332</v>
      </c>
      <c r="H50" s="631">
        <v>895000</v>
      </c>
      <c r="I50" s="626">
        <f>0+10+200+0</f>
        <v>210</v>
      </c>
      <c r="J50" s="631">
        <f>69896+70584+0</f>
        <v>140480</v>
      </c>
      <c r="K50" s="28">
        <v>1011</v>
      </c>
      <c r="L50" s="9">
        <v>150000</v>
      </c>
      <c r="M50" s="56">
        <v>520</v>
      </c>
      <c r="N50" s="65">
        <f>499.7+74881.8+36400+3800+16700+15600</f>
        <v>147881.5</v>
      </c>
      <c r="O50" s="65">
        <v>101081.5</v>
      </c>
      <c r="P50" s="622">
        <v>0</v>
      </c>
      <c r="Q50" s="624"/>
      <c r="R50" s="721">
        <v>40</v>
      </c>
      <c r="S50" s="725"/>
      <c r="T50" s="622">
        <v>0</v>
      </c>
      <c r="U50" s="624"/>
      <c r="V50" s="622"/>
      <c r="W50" s="624"/>
      <c r="X50" s="626">
        <f t="shared" si="1"/>
        <v>40</v>
      </c>
      <c r="Y50" s="627">
        <f t="shared" si="1"/>
        <v>0</v>
      </c>
      <c r="Z50" s="628">
        <f t="shared" si="22"/>
        <v>7.6923076923076925</v>
      </c>
      <c r="AA50" s="629">
        <f t="shared" si="22"/>
        <v>0</v>
      </c>
      <c r="AB50" s="652">
        <f>I50+X50</f>
        <v>250</v>
      </c>
      <c r="AC50" s="657">
        <f t="shared" si="3"/>
        <v>140480</v>
      </c>
      <c r="AD50" s="626">
        <f t="shared" si="23"/>
        <v>75.301204819277118</v>
      </c>
      <c r="AE50" s="629">
        <f t="shared" si="23"/>
        <v>15.69608938547486</v>
      </c>
      <c r="AF50" s="658"/>
      <c r="AG50" s="53" t="s">
        <v>417</v>
      </c>
    </row>
    <row r="51" spans="1:33" ht="74.25" customHeight="1" x14ac:dyDescent="0.25">
      <c r="A51" s="482"/>
      <c r="B51" s="688" t="s">
        <v>216</v>
      </c>
      <c r="C51" s="381" t="s">
        <v>162</v>
      </c>
      <c r="D51" s="44"/>
      <c r="E51" s="619" t="s">
        <v>116</v>
      </c>
      <c r="F51" s="609" t="s">
        <v>112</v>
      </c>
      <c r="G51" s="626">
        <v>130</v>
      </c>
      <c r="H51" s="631">
        <v>295000</v>
      </c>
      <c r="I51" s="626">
        <f>20+35+30+20</f>
        <v>105</v>
      </c>
      <c r="J51" s="683">
        <f>24510+42530+16750+7478.5</f>
        <v>91268.5</v>
      </c>
      <c r="K51" s="620">
        <v>20</v>
      </c>
      <c r="L51" s="69">
        <v>16320</v>
      </c>
      <c r="M51" s="504">
        <v>50</v>
      </c>
      <c r="N51" s="580">
        <f>493.8+1402.5+110+4700+1480+8000+920</f>
        <v>17106.3</v>
      </c>
      <c r="O51" s="580">
        <v>3153.8</v>
      </c>
      <c r="P51" s="622">
        <v>0</v>
      </c>
      <c r="Q51" s="624"/>
      <c r="R51" s="721">
        <v>0</v>
      </c>
      <c r="S51" s="725"/>
      <c r="T51" s="622">
        <v>0</v>
      </c>
      <c r="U51" s="624"/>
      <c r="V51" s="622"/>
      <c r="W51" s="624"/>
      <c r="X51" s="626">
        <f t="shared" si="1"/>
        <v>0</v>
      </c>
      <c r="Y51" s="627">
        <f t="shared" si="1"/>
        <v>0</v>
      </c>
      <c r="Z51" s="628">
        <f t="shared" si="22"/>
        <v>0</v>
      </c>
      <c r="AA51" s="629">
        <f t="shared" si="22"/>
        <v>0</v>
      </c>
      <c r="AB51" s="652">
        <f>I51+X51</f>
        <v>105</v>
      </c>
      <c r="AC51" s="657">
        <f t="shared" si="3"/>
        <v>91268.5</v>
      </c>
      <c r="AD51" s="593">
        <f t="shared" si="23"/>
        <v>80.769230769230774</v>
      </c>
      <c r="AE51" s="598">
        <f t="shared" si="23"/>
        <v>30.938474576271187</v>
      </c>
      <c r="AF51" s="658"/>
    </row>
    <row r="52" spans="1:33" ht="33.75" customHeight="1" x14ac:dyDescent="0.25">
      <c r="A52" s="46"/>
      <c r="B52" s="694" t="s">
        <v>217</v>
      </c>
      <c r="C52" s="470" t="s">
        <v>161</v>
      </c>
      <c r="D52" s="691"/>
      <c r="E52" s="619"/>
      <c r="F52" s="609"/>
      <c r="G52" s="604"/>
      <c r="H52" s="607"/>
      <c r="I52" s="604"/>
      <c r="J52" s="607"/>
      <c r="K52" s="620"/>
      <c r="L52" s="57"/>
      <c r="M52" s="459"/>
      <c r="N52" s="692"/>
      <c r="O52" s="692"/>
      <c r="P52" s="459"/>
      <c r="Q52" s="69"/>
      <c r="R52" s="753"/>
      <c r="S52" s="754"/>
      <c r="T52" s="459"/>
      <c r="U52" s="69"/>
      <c r="V52" s="459"/>
      <c r="W52" s="69"/>
      <c r="X52" s="459"/>
      <c r="Y52" s="594"/>
      <c r="Z52" s="596"/>
      <c r="AA52" s="57"/>
      <c r="AB52" s="839"/>
      <c r="AC52" s="847"/>
      <c r="AD52" s="626"/>
      <c r="AE52" s="848"/>
      <c r="AF52" s="46"/>
    </row>
    <row r="53" spans="1:33" ht="63" customHeight="1" x14ac:dyDescent="0.25">
      <c r="A53" s="482">
        <v>22</v>
      </c>
      <c r="B53" s="688" t="s">
        <v>218</v>
      </c>
      <c r="C53" s="381" t="s">
        <v>26</v>
      </c>
      <c r="D53" s="44" t="s">
        <v>33</v>
      </c>
      <c r="E53" s="471" t="s">
        <v>118</v>
      </c>
      <c r="F53" s="611" t="s">
        <v>119</v>
      </c>
      <c r="G53" s="626">
        <v>44</v>
      </c>
      <c r="H53" s="631">
        <v>550000</v>
      </c>
      <c r="I53" s="626">
        <f>0+8+5+13</f>
        <v>26</v>
      </c>
      <c r="J53" s="683">
        <f>48917+49500+74964.7</f>
        <v>173381.7</v>
      </c>
      <c r="K53" s="625">
        <v>10</v>
      </c>
      <c r="L53" s="506">
        <v>109992.5</v>
      </c>
      <c r="M53" s="55">
        <v>10</v>
      </c>
      <c r="N53" s="653">
        <f>109992.5</f>
        <v>109992.5</v>
      </c>
      <c r="O53" s="653">
        <f>109992.5</f>
        <v>109992.5</v>
      </c>
      <c r="P53" s="622">
        <v>0</v>
      </c>
      <c r="Q53" s="623">
        <v>7777.4</v>
      </c>
      <c r="R53" s="721">
        <v>10</v>
      </c>
      <c r="S53" s="732">
        <f>272609.55-Q53</f>
        <v>264832.14999999997</v>
      </c>
      <c r="T53" s="622">
        <v>0</v>
      </c>
      <c r="U53" s="624">
        <f>333584.55-Q53-S53</f>
        <v>60975</v>
      </c>
      <c r="V53" s="622"/>
      <c r="W53" s="624"/>
      <c r="X53" s="622">
        <f t="shared" si="1"/>
        <v>10</v>
      </c>
      <c r="Y53" s="659">
        <f t="shared" si="1"/>
        <v>333584.55</v>
      </c>
      <c r="Z53" s="660">
        <f>X53/M53*100</f>
        <v>100</v>
      </c>
      <c r="AA53" s="58">
        <f>Y53/N53*100</f>
        <v>303.27935995636068</v>
      </c>
      <c r="AB53" s="652">
        <f>I53+X53</f>
        <v>36</v>
      </c>
      <c r="AC53" s="657">
        <f t="shared" si="3"/>
        <v>506966.25</v>
      </c>
      <c r="AD53" s="628">
        <f>AB53/G53*100</f>
        <v>81.818181818181827</v>
      </c>
      <c r="AE53" s="848">
        <f>AC53/H53*100</f>
        <v>92.175681818181815</v>
      </c>
      <c r="AF53" s="482"/>
      <c r="AG53" s="53" t="s">
        <v>417</v>
      </c>
    </row>
    <row r="54" spans="1:33" ht="47.25" customHeight="1" x14ac:dyDescent="0.25">
      <c r="A54" s="482"/>
      <c r="B54" s="694" t="s">
        <v>210</v>
      </c>
      <c r="C54" s="470" t="s">
        <v>167</v>
      </c>
      <c r="D54" s="693"/>
      <c r="E54" s="690"/>
      <c r="F54" s="610"/>
      <c r="G54" s="626"/>
      <c r="H54" s="631"/>
      <c r="I54" s="626"/>
      <c r="J54" s="631"/>
      <c r="K54" s="672"/>
      <c r="L54" s="58"/>
      <c r="M54" s="622"/>
      <c r="N54" s="661"/>
      <c r="O54" s="661"/>
      <c r="P54" s="622"/>
      <c r="Q54" s="624"/>
      <c r="R54" s="721"/>
      <c r="S54" s="725"/>
      <c r="T54" s="622"/>
      <c r="U54" s="624"/>
      <c r="V54" s="622"/>
      <c r="W54" s="624"/>
      <c r="X54" s="622"/>
      <c r="Y54" s="659"/>
      <c r="Z54" s="660"/>
      <c r="AA54" s="58"/>
      <c r="AB54" s="652"/>
      <c r="AC54" s="657"/>
      <c r="AD54" s="626"/>
      <c r="AE54" s="651"/>
      <c r="AF54" s="482"/>
    </row>
    <row r="55" spans="1:33" ht="62.25" customHeight="1" x14ac:dyDescent="0.25">
      <c r="A55" s="482"/>
      <c r="B55" s="688" t="s">
        <v>228</v>
      </c>
      <c r="C55" s="381" t="s">
        <v>27</v>
      </c>
      <c r="D55" s="44"/>
      <c r="E55" s="471" t="s">
        <v>117</v>
      </c>
      <c r="F55" s="611" t="s">
        <v>112</v>
      </c>
      <c r="G55" s="626">
        <v>1000</v>
      </c>
      <c r="H55" s="631">
        <v>605000</v>
      </c>
      <c r="I55" s="626">
        <f>1+1+1+207</f>
        <v>210</v>
      </c>
      <c r="J55" s="631">
        <f>88214+118350+128000+44100</f>
        <v>378664</v>
      </c>
      <c r="K55" s="625">
        <v>300</v>
      </c>
      <c r="L55" s="493">
        <v>149319.75</v>
      </c>
      <c r="M55" s="55">
        <v>300</v>
      </c>
      <c r="N55" s="654">
        <f>512.45+5266.6+210+5420+54725+57750+8400+10000+25000+6550+4200+600+5775+2250+2750+2250+12000</f>
        <v>203659.05</v>
      </c>
      <c r="O55" s="654">
        <v>128084.05</v>
      </c>
      <c r="P55" s="622">
        <v>0</v>
      </c>
      <c r="Q55" s="624"/>
      <c r="R55" s="721">
        <v>300</v>
      </c>
      <c r="S55" s="725"/>
      <c r="T55" s="622">
        <v>0</v>
      </c>
      <c r="U55" s="624"/>
      <c r="V55" s="622"/>
      <c r="W55" s="624"/>
      <c r="X55" s="622">
        <f t="shared" si="1"/>
        <v>300</v>
      </c>
      <c r="Y55" s="627">
        <f t="shared" si="1"/>
        <v>0</v>
      </c>
      <c r="Z55" s="628">
        <f t="shared" ref="Z55:AA65" si="24">X55/M55*100</f>
        <v>100</v>
      </c>
      <c r="AA55" s="629">
        <f t="shared" si="24"/>
        <v>0</v>
      </c>
      <c r="AB55" s="652">
        <f t="shared" ref="AB55:AB61" si="25">I55+X55</f>
        <v>510</v>
      </c>
      <c r="AC55" s="657">
        <f t="shared" si="3"/>
        <v>378664</v>
      </c>
      <c r="AD55" s="626">
        <f t="shared" ref="AD55:AE64" si="26">AB55/G55*100</f>
        <v>51</v>
      </c>
      <c r="AE55" s="651">
        <f t="shared" si="26"/>
        <v>62.589090909090906</v>
      </c>
      <c r="AF55" s="482"/>
    </row>
    <row r="56" spans="1:33" ht="98.25" customHeight="1" x14ac:dyDescent="0.25">
      <c r="A56" s="482"/>
      <c r="B56" s="480" t="s">
        <v>229</v>
      </c>
      <c r="C56" s="475" t="s">
        <v>170</v>
      </c>
      <c r="D56" s="44"/>
      <c r="E56" s="471" t="s">
        <v>120</v>
      </c>
      <c r="F56" s="611" t="s">
        <v>112</v>
      </c>
      <c r="G56" s="626">
        <v>410</v>
      </c>
      <c r="H56" s="631">
        <f>100000+420000</f>
        <v>520000</v>
      </c>
      <c r="I56" s="626">
        <f>10+80+60+50</f>
        <v>200</v>
      </c>
      <c r="J56" s="629">
        <f>97108+121991+101949+65264.45</f>
        <v>386312.45</v>
      </c>
      <c r="K56" s="625">
        <v>100</v>
      </c>
      <c r="L56" s="624">
        <v>110000</v>
      </c>
      <c r="M56" s="505">
        <v>50</v>
      </c>
      <c r="N56" s="581">
        <f>357.4+1239.6+100+8400+2750+6325+500+3000+1000+1600</f>
        <v>25272</v>
      </c>
      <c r="O56" s="581">
        <v>24872</v>
      </c>
      <c r="P56" s="622">
        <v>0</v>
      </c>
      <c r="Q56" s="624"/>
      <c r="R56" s="721">
        <v>0</v>
      </c>
      <c r="S56" s="725"/>
      <c r="T56" s="622">
        <v>50</v>
      </c>
      <c r="U56" s="624"/>
      <c r="V56" s="622"/>
      <c r="W56" s="624"/>
      <c r="X56" s="622">
        <f t="shared" si="1"/>
        <v>50</v>
      </c>
      <c r="Y56" s="627">
        <f t="shared" si="1"/>
        <v>0</v>
      </c>
      <c r="Z56" s="628">
        <f t="shared" si="24"/>
        <v>100</v>
      </c>
      <c r="AA56" s="629">
        <f t="shared" si="24"/>
        <v>0</v>
      </c>
      <c r="AB56" s="652">
        <f t="shared" si="25"/>
        <v>250</v>
      </c>
      <c r="AC56" s="657">
        <f t="shared" si="3"/>
        <v>386312.45</v>
      </c>
      <c r="AD56" s="626">
        <f t="shared" si="26"/>
        <v>60.975609756097562</v>
      </c>
      <c r="AE56" s="651">
        <f t="shared" si="26"/>
        <v>74.290855769230774</v>
      </c>
      <c r="AF56" s="482"/>
    </row>
    <row r="57" spans="1:33" ht="46.5" customHeight="1" x14ac:dyDescent="0.25">
      <c r="A57" s="482"/>
      <c r="B57" s="695" t="s">
        <v>230</v>
      </c>
      <c r="C57" s="475" t="s">
        <v>28</v>
      </c>
      <c r="D57" s="44"/>
      <c r="E57" s="18" t="s">
        <v>121</v>
      </c>
      <c r="F57" s="494" t="s">
        <v>196</v>
      </c>
      <c r="G57" s="626">
        <v>120</v>
      </c>
      <c r="H57" s="631">
        <v>340000</v>
      </c>
      <c r="I57" s="626">
        <f>20+48+24+0</f>
        <v>92</v>
      </c>
      <c r="J57" s="631">
        <f>39255+69540+70000+0</f>
        <v>178795</v>
      </c>
      <c r="K57" s="582">
        <v>24</v>
      </c>
      <c r="L57" s="492">
        <v>55999.7</v>
      </c>
      <c r="M57" s="582">
        <v>24</v>
      </c>
      <c r="N57" s="65">
        <f>377.3+1159.1+160+9000+5300+7300+10600+6000+1108.8</f>
        <v>41005.200000000004</v>
      </c>
      <c r="O57" s="65">
        <f>377.3+1159.1+160+9000+5300+7300+10600+6000+1108.8</f>
        <v>41005.200000000004</v>
      </c>
      <c r="P57" s="622">
        <v>0</v>
      </c>
      <c r="Q57" s="624"/>
      <c r="R57" s="721">
        <v>0</v>
      </c>
      <c r="S57" s="725"/>
      <c r="T57" s="622">
        <v>24</v>
      </c>
      <c r="U57" s="624"/>
      <c r="V57" s="622"/>
      <c r="W57" s="624"/>
      <c r="X57" s="622">
        <f t="shared" si="1"/>
        <v>24</v>
      </c>
      <c r="Y57" s="627">
        <f t="shared" si="1"/>
        <v>0</v>
      </c>
      <c r="Z57" s="628">
        <f t="shared" si="24"/>
        <v>100</v>
      </c>
      <c r="AA57" s="629">
        <f t="shared" si="24"/>
        <v>0</v>
      </c>
      <c r="AB57" s="652">
        <f t="shared" si="25"/>
        <v>116</v>
      </c>
      <c r="AC57" s="657">
        <f t="shared" si="3"/>
        <v>178795</v>
      </c>
      <c r="AD57" s="626">
        <f t="shared" si="26"/>
        <v>96.666666666666671</v>
      </c>
      <c r="AE57" s="651">
        <f t="shared" si="26"/>
        <v>52.586764705882352</v>
      </c>
      <c r="AF57" s="482"/>
    </row>
    <row r="58" spans="1:33" ht="35.25" customHeight="1" x14ac:dyDescent="0.25">
      <c r="A58" s="482"/>
      <c r="B58" s="696"/>
      <c r="C58" s="646"/>
      <c r="D58" s="44"/>
      <c r="E58" s="18" t="s">
        <v>122</v>
      </c>
      <c r="F58" s="494" t="s">
        <v>196</v>
      </c>
      <c r="G58" s="626"/>
      <c r="H58" s="631"/>
      <c r="I58" s="626"/>
      <c r="J58" s="631"/>
      <c r="K58" s="582">
        <v>24</v>
      </c>
      <c r="L58" s="58"/>
      <c r="M58" s="582">
        <v>24</v>
      </c>
      <c r="N58" s="66">
        <v>100000</v>
      </c>
      <c r="O58" s="66">
        <v>100000</v>
      </c>
      <c r="P58" s="622">
        <v>0</v>
      </c>
      <c r="Q58" s="624"/>
      <c r="R58" s="721">
        <v>24</v>
      </c>
      <c r="S58" s="725"/>
      <c r="T58" s="622">
        <v>0</v>
      </c>
      <c r="U58" s="624"/>
      <c r="V58" s="622"/>
      <c r="W58" s="624"/>
      <c r="X58" s="622">
        <f t="shared" si="1"/>
        <v>24</v>
      </c>
      <c r="Y58" s="627">
        <f t="shared" si="1"/>
        <v>0</v>
      </c>
      <c r="Z58" s="628">
        <f t="shared" si="24"/>
        <v>100</v>
      </c>
      <c r="AA58" s="629">
        <f t="shared" si="24"/>
        <v>0</v>
      </c>
      <c r="AB58" s="652">
        <f t="shared" si="25"/>
        <v>24</v>
      </c>
      <c r="AC58" s="657">
        <f t="shared" si="3"/>
        <v>0</v>
      </c>
      <c r="AD58" s="626" t="e">
        <f t="shared" si="26"/>
        <v>#DIV/0!</v>
      </c>
      <c r="AE58" s="651" t="e">
        <f t="shared" si="26"/>
        <v>#DIV/0!</v>
      </c>
      <c r="AF58" s="482"/>
    </row>
    <row r="59" spans="1:33" ht="87" customHeight="1" x14ac:dyDescent="0.25">
      <c r="A59" s="610"/>
      <c r="B59" s="764"/>
      <c r="C59" s="646"/>
      <c r="D59" s="44"/>
      <c r="E59" s="18" t="s">
        <v>123</v>
      </c>
      <c r="F59" s="494" t="s">
        <v>248</v>
      </c>
      <c r="G59" s="626"/>
      <c r="H59" s="631"/>
      <c r="I59" s="626"/>
      <c r="J59" s="631"/>
      <c r="K59" s="582">
        <v>1</v>
      </c>
      <c r="L59" s="506"/>
      <c r="M59" s="582">
        <v>25</v>
      </c>
      <c r="N59" s="66">
        <f>348+70+11610+1375+1780</f>
        <v>15183</v>
      </c>
      <c r="O59" s="66">
        <f>348+70+11610+1375+1780</f>
        <v>15183</v>
      </c>
      <c r="P59" s="622">
        <v>0</v>
      </c>
      <c r="Q59" s="624"/>
      <c r="R59" s="721">
        <v>0</v>
      </c>
      <c r="S59" s="725"/>
      <c r="T59" s="622">
        <v>0</v>
      </c>
      <c r="U59" s="624"/>
      <c r="V59" s="622"/>
      <c r="W59" s="624"/>
      <c r="X59" s="622">
        <f t="shared" si="1"/>
        <v>0</v>
      </c>
      <c r="Y59" s="627">
        <f t="shared" si="1"/>
        <v>0</v>
      </c>
      <c r="Z59" s="628">
        <f t="shared" si="24"/>
        <v>0</v>
      </c>
      <c r="AA59" s="629">
        <f t="shared" si="24"/>
        <v>0</v>
      </c>
      <c r="AB59" s="652">
        <f t="shared" si="25"/>
        <v>0</v>
      </c>
      <c r="AC59" s="657">
        <f t="shared" si="3"/>
        <v>0</v>
      </c>
      <c r="AD59" s="626" t="e">
        <f t="shared" si="26"/>
        <v>#DIV/0!</v>
      </c>
      <c r="AE59" s="651" t="e">
        <f t="shared" si="26"/>
        <v>#DIV/0!</v>
      </c>
      <c r="AF59" s="482"/>
    </row>
    <row r="60" spans="1:33" ht="39.75" customHeight="1" x14ac:dyDescent="0.25">
      <c r="A60" s="47"/>
      <c r="B60" s="481"/>
      <c r="C60" s="615"/>
      <c r="D60" s="14"/>
      <c r="E60" s="18" t="s">
        <v>124</v>
      </c>
      <c r="F60" s="333" t="s">
        <v>125</v>
      </c>
      <c r="G60" s="593"/>
      <c r="H60" s="600"/>
      <c r="I60" s="593"/>
      <c r="J60" s="600"/>
      <c r="K60" s="28"/>
      <c r="L60" s="493"/>
      <c r="M60" s="56">
        <v>1</v>
      </c>
      <c r="N60" s="66">
        <f>400+1800+28000</f>
        <v>30200</v>
      </c>
      <c r="O60" s="66">
        <f>400+1800+28000</f>
        <v>30200</v>
      </c>
      <c r="P60" s="55">
        <v>0</v>
      </c>
      <c r="Q60" s="67"/>
      <c r="R60" s="733">
        <v>1</v>
      </c>
      <c r="S60" s="606"/>
      <c r="T60" s="55">
        <v>0</v>
      </c>
      <c r="U60" s="67"/>
      <c r="V60" s="55"/>
      <c r="W60" s="67"/>
      <c r="X60" s="55">
        <f t="shared" si="1"/>
        <v>1</v>
      </c>
      <c r="Y60" s="595">
        <f t="shared" si="1"/>
        <v>0</v>
      </c>
      <c r="Z60" s="597">
        <f t="shared" si="24"/>
        <v>100</v>
      </c>
      <c r="AA60" s="598">
        <f t="shared" si="24"/>
        <v>0</v>
      </c>
      <c r="AB60" s="601">
        <f t="shared" si="25"/>
        <v>1</v>
      </c>
      <c r="AC60" s="655">
        <f t="shared" si="3"/>
        <v>0</v>
      </c>
      <c r="AD60" s="593" t="e">
        <f t="shared" si="26"/>
        <v>#DIV/0!</v>
      </c>
      <c r="AE60" s="647" t="e">
        <f t="shared" si="26"/>
        <v>#DIV/0!</v>
      </c>
      <c r="AF60" s="47"/>
    </row>
    <row r="61" spans="1:33" ht="66.75" customHeight="1" x14ac:dyDescent="0.25">
      <c r="A61" s="47">
        <v>23</v>
      </c>
      <c r="B61" s="479" t="s">
        <v>231</v>
      </c>
      <c r="C61" s="826" t="s">
        <v>169</v>
      </c>
      <c r="D61" s="14" t="s">
        <v>64</v>
      </c>
      <c r="E61" s="4" t="s">
        <v>126</v>
      </c>
      <c r="F61" s="7" t="s">
        <v>127</v>
      </c>
      <c r="G61" s="593">
        <v>300</v>
      </c>
      <c r="H61" s="600">
        <v>335000</v>
      </c>
      <c r="I61" s="593">
        <f>6+4+3+6</f>
        <v>19</v>
      </c>
      <c r="J61" s="600">
        <f>73117+74340+74833+8210</f>
        <v>230500</v>
      </c>
      <c r="K61" s="19">
        <v>60</v>
      </c>
      <c r="L61" s="9">
        <v>50000</v>
      </c>
      <c r="M61" s="19">
        <v>60</v>
      </c>
      <c r="N61" s="23">
        <v>49999.8</v>
      </c>
      <c r="O61" s="23">
        <v>49999.8</v>
      </c>
      <c r="P61" s="55">
        <v>0</v>
      </c>
      <c r="Q61" s="506">
        <v>739.8</v>
      </c>
      <c r="R61" s="733">
        <v>64</v>
      </c>
      <c r="S61" s="606">
        <v>3000</v>
      </c>
      <c r="T61" s="55">
        <v>0</v>
      </c>
      <c r="U61" s="67">
        <v>9000</v>
      </c>
      <c r="V61" s="55"/>
      <c r="W61" s="67"/>
      <c r="X61" s="55">
        <f t="shared" si="1"/>
        <v>64</v>
      </c>
      <c r="Y61" s="589">
        <f t="shared" si="1"/>
        <v>12739.8</v>
      </c>
      <c r="Z61" s="590">
        <f t="shared" si="24"/>
        <v>106.66666666666667</v>
      </c>
      <c r="AA61" s="493">
        <f t="shared" si="24"/>
        <v>25.479701918807674</v>
      </c>
      <c r="AB61" s="601">
        <f t="shared" si="25"/>
        <v>83</v>
      </c>
      <c r="AC61" s="600">
        <f t="shared" si="3"/>
        <v>243239.8</v>
      </c>
      <c r="AD61" s="842">
        <f t="shared" si="26"/>
        <v>27.666666666666668</v>
      </c>
      <c r="AE61" s="598">
        <f t="shared" si="26"/>
        <v>72.608895522388067</v>
      </c>
      <c r="AF61" s="47"/>
    </row>
    <row r="62" spans="1:33" s="376" customFormat="1" ht="57" customHeight="1" x14ac:dyDescent="0.25">
      <c r="A62" s="553" t="s">
        <v>6</v>
      </c>
      <c r="B62" s="566" t="s">
        <v>232</v>
      </c>
      <c r="C62" s="824" t="s">
        <v>158</v>
      </c>
      <c r="D62" s="463" t="s">
        <v>65</v>
      </c>
      <c r="E62" s="554" t="s">
        <v>128</v>
      </c>
      <c r="F62" s="555" t="s">
        <v>93</v>
      </c>
      <c r="G62" s="569">
        <v>45.38</v>
      </c>
      <c r="H62" s="568">
        <f>SUM(H65:H91)</f>
        <v>8523000</v>
      </c>
      <c r="I62" s="569">
        <v>62.95</v>
      </c>
      <c r="J62" s="574">
        <f>SUM(J65:J91)</f>
        <v>4948932.5890000006</v>
      </c>
      <c r="K62" s="556">
        <v>44.43</v>
      </c>
      <c r="L62" s="559">
        <f>SUM(L66:L91)</f>
        <v>2660878.6999999997</v>
      </c>
      <c r="M62" s="556">
        <v>44.43</v>
      </c>
      <c r="N62" s="649">
        <f>N66+N68+N69+N70+N71+N73+N74+N75+N76+N78+N79+N81+N82+N84+N86+N87+N88+N89+N90+N91</f>
        <v>1561046.9</v>
      </c>
      <c r="O62" s="649">
        <f>O66+O68+O69+O70+O71+O73+O74+O75+O76+O78+O79+O81+O82+O84+O86+O87+O88+O89+O90+O91</f>
        <v>1240262.0999999999</v>
      </c>
      <c r="P62" s="556">
        <v>49.48</v>
      </c>
      <c r="Q62" s="571">
        <v>20233.5</v>
      </c>
      <c r="R62" s="569">
        <v>0.125</v>
      </c>
      <c r="S62" s="568">
        <f>S66+S68+S69+S70+S71+S73+S74+S75+S76+S78+S79+S81+S82+S84+S86+S87+S88+S89+S90+S91</f>
        <v>369979.22499999998</v>
      </c>
      <c r="T62" s="570">
        <v>0.09</v>
      </c>
      <c r="U62" s="568">
        <f>U66+U68+U69+U70+U71+U73+U74+U75+U76+U78+U79+U81+U82+U84+U86+U87+U88+U89+U90+U91</f>
        <v>239701.75200000001</v>
      </c>
      <c r="V62" s="568">
        <f>V66+V68+V69+V70+V71+V73+V74+V75+V76+V78+V79+V81+V82+V84+V86+V87+V88+V89+V90+V91</f>
        <v>0</v>
      </c>
      <c r="W62" s="568">
        <f>W66+W68+W69+W70+W71+W73+W74+W75+W76+W78+W79+W81+W82+W84+W86+W87+W88+W89+W90+W91</f>
        <v>0</v>
      </c>
      <c r="X62" s="556">
        <f t="shared" si="1"/>
        <v>49.695</v>
      </c>
      <c r="Y62" s="562">
        <f t="shared" si="1"/>
        <v>629914.47699999996</v>
      </c>
      <c r="Z62" s="558">
        <f t="shared" si="24"/>
        <v>111.85010128291695</v>
      </c>
      <c r="AA62" s="559">
        <f t="shared" si="24"/>
        <v>40.352053291928641</v>
      </c>
      <c r="AB62" s="558">
        <f>+I62</f>
        <v>62.95</v>
      </c>
      <c r="AC62" s="559">
        <f t="shared" si="3"/>
        <v>5578847.0660000006</v>
      </c>
      <c r="AD62" s="573">
        <f t="shared" si="26"/>
        <v>138.71749669457913</v>
      </c>
      <c r="AE62" s="559">
        <f t="shared" si="26"/>
        <v>65.456377636982282</v>
      </c>
      <c r="AF62" s="555"/>
    </row>
    <row r="63" spans="1:33" s="376" customFormat="1" ht="86.25" customHeight="1" x14ac:dyDescent="0.25">
      <c r="A63" s="767"/>
      <c r="B63" s="566"/>
      <c r="C63" s="824"/>
      <c r="D63" s="768"/>
      <c r="E63" s="554" t="s">
        <v>432</v>
      </c>
      <c r="F63" s="555" t="s">
        <v>93</v>
      </c>
      <c r="G63" s="769">
        <v>3.63</v>
      </c>
      <c r="H63" s="770">
        <f>H68+H69+H70+H73+H74+H75</f>
        <v>1245000</v>
      </c>
      <c r="I63" s="769">
        <v>2.5299999999999998</v>
      </c>
      <c r="J63" s="771">
        <f>J68+J69+J70+J73+J74+J75</f>
        <v>546216.94999999995</v>
      </c>
      <c r="K63" s="556">
        <v>3.1</v>
      </c>
      <c r="L63" s="559">
        <f>L68+L69+L70+L73+L74+L75</f>
        <v>203638.2</v>
      </c>
      <c r="M63" s="556">
        <v>3.1</v>
      </c>
      <c r="N63" s="649">
        <f>N68+N69+N70+N71+N73+N74+N75</f>
        <v>283493.3</v>
      </c>
      <c r="O63" s="649">
        <f>O68+O69+O70+O71+O73+O74+O75</f>
        <v>204834.30000000002</v>
      </c>
      <c r="P63" s="772">
        <v>2.5299999999999998</v>
      </c>
      <c r="Q63" s="649">
        <f>Q66+Q70+Q73+Q75</f>
        <v>0</v>
      </c>
      <c r="R63" s="769">
        <v>0.57999999999999996</v>
      </c>
      <c r="S63" s="770">
        <f>S66+S70+S73+S75</f>
        <v>91699.900000000009</v>
      </c>
      <c r="T63" s="771">
        <v>0.155</v>
      </c>
      <c r="U63" s="770">
        <f>U66+U70+U73+U75</f>
        <v>182532.35200000001</v>
      </c>
      <c r="V63" s="770">
        <f>V66+V70+V73+V75</f>
        <v>0</v>
      </c>
      <c r="W63" s="770">
        <f>W66+W70+W73+W75</f>
        <v>0</v>
      </c>
      <c r="X63" s="556">
        <f>P63+R63+T63+V63</f>
        <v>3.2649999999999997</v>
      </c>
      <c r="Y63" s="562">
        <f>Q63+S63+U63+W63</f>
        <v>274232.25200000004</v>
      </c>
      <c r="Z63" s="558">
        <f t="shared" si="24"/>
        <v>105.32258064516127</v>
      </c>
      <c r="AA63" s="559">
        <f t="shared" si="24"/>
        <v>96.733239198245627</v>
      </c>
      <c r="AB63" s="558">
        <f>+X63</f>
        <v>3.2649999999999997</v>
      </c>
      <c r="AC63" s="559">
        <f>Y63+J63</f>
        <v>820449.20200000005</v>
      </c>
      <c r="AD63" s="573">
        <f t="shared" si="26"/>
        <v>89.944903581267212</v>
      </c>
      <c r="AE63" s="559">
        <f t="shared" si="26"/>
        <v>65.899534297188751</v>
      </c>
      <c r="AF63" s="555"/>
    </row>
    <row r="64" spans="1:33" s="376" customFormat="1" ht="53.25" customHeight="1" x14ac:dyDescent="0.25">
      <c r="A64" s="767"/>
      <c r="B64" s="566"/>
      <c r="C64" s="824"/>
      <c r="D64" s="768"/>
      <c r="E64" s="554" t="s">
        <v>433</v>
      </c>
      <c r="F64" s="555" t="s">
        <v>93</v>
      </c>
      <c r="G64" s="769">
        <v>68.06</v>
      </c>
      <c r="H64" s="770">
        <f>H84</f>
        <v>405000</v>
      </c>
      <c r="I64" s="769">
        <v>47.31</v>
      </c>
      <c r="J64" s="771">
        <f>J84</f>
        <v>133691.95000000001</v>
      </c>
      <c r="K64" s="556">
        <v>57.59</v>
      </c>
      <c r="L64" s="559">
        <f>L84</f>
        <v>69319.899999999994</v>
      </c>
      <c r="M64" s="556">
        <v>57.59</v>
      </c>
      <c r="N64" s="649">
        <f>N84</f>
        <v>65830.899999999994</v>
      </c>
      <c r="O64" s="649">
        <f>O84</f>
        <v>63830.9</v>
      </c>
      <c r="P64" s="772">
        <v>47.31</v>
      </c>
      <c r="Q64" s="649">
        <v>0</v>
      </c>
      <c r="R64" s="769">
        <v>0</v>
      </c>
      <c r="S64" s="770">
        <v>0</v>
      </c>
      <c r="T64" s="770">
        <v>0</v>
      </c>
      <c r="U64" s="770">
        <v>0</v>
      </c>
      <c r="V64" s="770">
        <v>0</v>
      </c>
      <c r="W64" s="770">
        <v>0</v>
      </c>
      <c r="X64" s="556">
        <f>P64+R64+T64+V64</f>
        <v>47.31</v>
      </c>
      <c r="Y64" s="562">
        <f>Q64+S64+U64+W64</f>
        <v>0</v>
      </c>
      <c r="Z64" s="558">
        <f t="shared" si="24"/>
        <v>82.149678763674245</v>
      </c>
      <c r="AA64" s="559">
        <f t="shared" si="24"/>
        <v>0</v>
      </c>
      <c r="AB64" s="558">
        <f>+X64</f>
        <v>47.31</v>
      </c>
      <c r="AC64" s="559">
        <f>Y64+J64</f>
        <v>133691.95000000001</v>
      </c>
      <c r="AD64" s="573">
        <f t="shared" si="26"/>
        <v>69.512195121951223</v>
      </c>
      <c r="AE64" s="559">
        <f t="shared" si="26"/>
        <v>33.010358024691364</v>
      </c>
      <c r="AF64" s="555"/>
    </row>
    <row r="65" spans="1:33" s="376" customFormat="1" ht="87" customHeight="1" x14ac:dyDescent="0.25">
      <c r="A65" s="534"/>
      <c r="B65" s="528"/>
      <c r="C65" s="547"/>
      <c r="D65" s="532" t="s">
        <v>66</v>
      </c>
      <c r="E65" s="512" t="s">
        <v>438</v>
      </c>
      <c r="F65" s="837" t="s">
        <v>112</v>
      </c>
      <c r="G65" s="685"/>
      <c r="H65" s="686"/>
      <c r="I65" s="685"/>
      <c r="J65" s="686"/>
      <c r="K65" s="538">
        <f>SUM(K66:K76)</f>
        <v>67</v>
      </c>
      <c r="L65" s="861">
        <f t="shared" ref="L65:Y65" si="27">SUM(L66:L76)</f>
        <v>480433.1</v>
      </c>
      <c r="M65" s="538">
        <f t="shared" si="27"/>
        <v>260</v>
      </c>
      <c r="N65" s="860">
        <f t="shared" si="27"/>
        <v>477408</v>
      </c>
      <c r="O65" s="860">
        <f t="shared" si="27"/>
        <v>398774</v>
      </c>
      <c r="P65" s="538">
        <f t="shared" si="27"/>
        <v>31</v>
      </c>
      <c r="Q65" s="538">
        <f t="shared" si="27"/>
        <v>0</v>
      </c>
      <c r="R65" s="538">
        <f t="shared" si="27"/>
        <v>75</v>
      </c>
      <c r="S65" s="861">
        <f t="shared" si="27"/>
        <v>91699.900000000009</v>
      </c>
      <c r="T65" s="538">
        <f t="shared" si="27"/>
        <v>91</v>
      </c>
      <c r="U65" s="861">
        <f t="shared" si="27"/>
        <v>182532.35200000001</v>
      </c>
      <c r="V65" s="861">
        <f t="shared" si="27"/>
        <v>0</v>
      </c>
      <c r="W65" s="861">
        <f t="shared" si="27"/>
        <v>0</v>
      </c>
      <c r="X65" s="538">
        <f t="shared" si="27"/>
        <v>197</v>
      </c>
      <c r="Y65" s="863">
        <f t="shared" si="27"/>
        <v>274232.25199999998</v>
      </c>
      <c r="Z65" s="864">
        <f t="shared" si="24"/>
        <v>75.769230769230774</v>
      </c>
      <c r="AA65" s="865">
        <f t="shared" si="24"/>
        <v>57.44190545612976</v>
      </c>
      <c r="AB65" s="586"/>
      <c r="AC65" s="587"/>
      <c r="AD65" s="668"/>
      <c r="AE65" s="541"/>
      <c r="AF65" s="534"/>
    </row>
    <row r="66" spans="1:33" ht="59.25" customHeight="1" x14ac:dyDescent="0.25">
      <c r="A66" s="46">
        <v>24</v>
      </c>
      <c r="B66" s="688" t="s">
        <v>233</v>
      </c>
      <c r="C66" s="381" t="s">
        <v>163</v>
      </c>
      <c r="D66" s="13" t="s">
        <v>67</v>
      </c>
      <c r="E66" s="619" t="s">
        <v>129</v>
      </c>
      <c r="F66" s="609" t="s">
        <v>112</v>
      </c>
      <c r="G66" s="604">
        <v>255</v>
      </c>
      <c r="H66" s="607">
        <v>1500000</v>
      </c>
      <c r="I66" s="604">
        <f>50+106+116+124</f>
        <v>396</v>
      </c>
      <c r="J66" s="684">
        <f>276975+407424+296676+163810.189</f>
        <v>1144885.189</v>
      </c>
      <c r="K66" s="620">
        <v>35</v>
      </c>
      <c r="L66" s="492">
        <v>276794.90000000002</v>
      </c>
      <c r="M66" s="504">
        <v>10</v>
      </c>
      <c r="N66" s="583">
        <f>7194</f>
        <v>7194</v>
      </c>
      <c r="O66" s="583">
        <f>7194</f>
        <v>7194</v>
      </c>
      <c r="P66" s="459">
        <v>0</v>
      </c>
      <c r="Q66" s="69">
        <v>0</v>
      </c>
      <c r="R66" s="753">
        <v>0</v>
      </c>
      <c r="S66" s="754">
        <v>0</v>
      </c>
      <c r="T66" s="459">
        <v>5</v>
      </c>
      <c r="U66" s="69">
        <v>79882.845000000001</v>
      </c>
      <c r="V66" s="504"/>
      <c r="W66" s="69"/>
      <c r="X66" s="620">
        <f t="shared" si="1"/>
        <v>5</v>
      </c>
      <c r="Y66" s="594">
        <f t="shared" si="1"/>
        <v>79882.845000000001</v>
      </c>
      <c r="Z66" s="596">
        <f>X66/M66*100</f>
        <v>50</v>
      </c>
      <c r="AA66" s="57">
        <f>Y66/N66*100</f>
        <v>1110.4092994161801</v>
      </c>
      <c r="AB66" s="839">
        <f>I66+X66</f>
        <v>401</v>
      </c>
      <c r="AC66" s="607">
        <f t="shared" si="3"/>
        <v>1224768.034</v>
      </c>
      <c r="AD66" s="841">
        <f t="shared" ref="AD66:AE71" si="28">AB66/G66*100</f>
        <v>157.25490196078431</v>
      </c>
      <c r="AE66" s="841">
        <f t="shared" si="28"/>
        <v>81.651202266666672</v>
      </c>
      <c r="AF66" s="46"/>
    </row>
    <row r="67" spans="1:33" ht="44.25" customHeight="1" x14ac:dyDescent="0.25">
      <c r="A67" s="482"/>
      <c r="B67" s="704" t="s">
        <v>234</v>
      </c>
      <c r="C67" s="507" t="s">
        <v>160</v>
      </c>
      <c r="D67" s="697"/>
      <c r="E67" s="472"/>
      <c r="F67" s="609"/>
      <c r="G67" s="626"/>
      <c r="H67" s="631"/>
      <c r="I67" s="626"/>
      <c r="J67" s="631"/>
      <c r="K67" s="620"/>
      <c r="L67" s="57"/>
      <c r="M67" s="459"/>
      <c r="N67" s="580"/>
      <c r="O67" s="580"/>
      <c r="P67" s="622"/>
      <c r="Q67" s="624"/>
      <c r="R67" s="721"/>
      <c r="S67" s="725"/>
      <c r="T67" s="622"/>
      <c r="U67" s="624"/>
      <c r="V67" s="669"/>
      <c r="W67" s="624"/>
      <c r="X67" s="670"/>
      <c r="Y67" s="627"/>
      <c r="Z67" s="628"/>
      <c r="AA67" s="629"/>
      <c r="AB67" s="652"/>
      <c r="AC67" s="631"/>
      <c r="AD67" s="628" t="e">
        <f t="shared" si="28"/>
        <v>#DIV/0!</v>
      </c>
      <c r="AE67" s="628" t="e">
        <f t="shared" si="28"/>
        <v>#DIV/0!</v>
      </c>
      <c r="AF67" s="482"/>
    </row>
    <row r="68" spans="1:33" ht="71.25" customHeight="1" x14ac:dyDescent="0.25">
      <c r="A68" s="482"/>
      <c r="B68" s="480" t="s">
        <v>235</v>
      </c>
      <c r="C68" s="614" t="s">
        <v>24</v>
      </c>
      <c r="D68" s="618"/>
      <c r="E68" s="473" t="s">
        <v>132</v>
      </c>
      <c r="F68" s="611" t="s">
        <v>112</v>
      </c>
      <c r="G68" s="626">
        <v>110</v>
      </c>
      <c r="H68" s="631">
        <v>355000</v>
      </c>
      <c r="I68" s="626">
        <f>15+20+20+0</f>
        <v>55</v>
      </c>
      <c r="J68" s="631">
        <f>59929+142804+49685+0</f>
        <v>252418</v>
      </c>
      <c r="K68" s="625">
        <v>30</v>
      </c>
      <c r="L68" s="506">
        <v>74319.600000000006</v>
      </c>
      <c r="M68" s="55">
        <v>35</v>
      </c>
      <c r="N68" s="653">
        <f>400+56945+2370+496.2+973.1+190</f>
        <v>61374.299999999996</v>
      </c>
      <c r="O68" s="653">
        <v>60974.3</v>
      </c>
      <c r="P68" s="622">
        <v>0</v>
      </c>
      <c r="Q68" s="624"/>
      <c r="R68" s="721"/>
      <c r="S68" s="725"/>
      <c r="T68" s="622">
        <v>35</v>
      </c>
      <c r="U68" s="624"/>
      <c r="V68" s="669"/>
      <c r="W68" s="624"/>
      <c r="X68" s="670">
        <f t="shared" si="1"/>
        <v>35</v>
      </c>
      <c r="Y68" s="627">
        <f t="shared" si="1"/>
        <v>0</v>
      </c>
      <c r="Z68" s="628">
        <f t="shared" ref="Z68:AA71" si="29">X68/M68*100</f>
        <v>100</v>
      </c>
      <c r="AA68" s="629">
        <f t="shared" si="29"/>
        <v>0</v>
      </c>
      <c r="AB68" s="652">
        <f>I68+X68</f>
        <v>90</v>
      </c>
      <c r="AC68" s="631">
        <f t="shared" si="3"/>
        <v>252418</v>
      </c>
      <c r="AD68" s="628">
        <f t="shared" si="28"/>
        <v>81.818181818181827</v>
      </c>
      <c r="AE68" s="628">
        <f t="shared" si="28"/>
        <v>71.103661971830988</v>
      </c>
      <c r="AF68" s="482"/>
    </row>
    <row r="69" spans="1:33" ht="46.5" customHeight="1" x14ac:dyDescent="0.25">
      <c r="A69" s="47"/>
      <c r="B69" s="481"/>
      <c r="C69" s="615"/>
      <c r="D69" s="14"/>
      <c r="E69" s="471" t="s">
        <v>130</v>
      </c>
      <c r="F69" s="621" t="s">
        <v>248</v>
      </c>
      <c r="G69" s="593"/>
      <c r="H69" s="600"/>
      <c r="I69" s="593"/>
      <c r="J69" s="600"/>
      <c r="K69" s="625">
        <v>1</v>
      </c>
      <c r="L69" s="67">
        <v>19999</v>
      </c>
      <c r="M69" s="505">
        <v>10</v>
      </c>
      <c r="N69" s="581">
        <v>19999</v>
      </c>
      <c r="O69" s="581">
        <v>19999</v>
      </c>
      <c r="P69" s="55">
        <v>0</v>
      </c>
      <c r="Q69" s="67"/>
      <c r="R69" s="733"/>
      <c r="S69" s="606"/>
      <c r="T69" s="55">
        <v>10</v>
      </c>
      <c r="U69" s="67"/>
      <c r="V69" s="505"/>
      <c r="W69" s="67"/>
      <c r="X69" s="750">
        <f t="shared" si="1"/>
        <v>10</v>
      </c>
      <c r="Y69" s="595">
        <f t="shared" si="1"/>
        <v>0</v>
      </c>
      <c r="Z69" s="597">
        <f t="shared" si="29"/>
        <v>100</v>
      </c>
      <c r="AA69" s="598">
        <f t="shared" si="29"/>
        <v>0</v>
      </c>
      <c r="AB69" s="601">
        <f>I69+X69</f>
        <v>10</v>
      </c>
      <c r="AC69" s="600">
        <f t="shared" si="3"/>
        <v>0</v>
      </c>
      <c r="AD69" s="597" t="e">
        <f t="shared" si="28"/>
        <v>#DIV/0!</v>
      </c>
      <c r="AE69" s="597" t="e">
        <f t="shared" si="28"/>
        <v>#DIV/0!</v>
      </c>
      <c r="AF69" s="47"/>
    </row>
    <row r="70" spans="1:33" ht="74.25" customHeight="1" x14ac:dyDescent="0.25">
      <c r="A70" s="47">
        <v>25</v>
      </c>
      <c r="B70" s="479"/>
      <c r="C70" s="826"/>
      <c r="D70" s="14" t="s">
        <v>68</v>
      </c>
      <c r="E70" s="4" t="s">
        <v>131</v>
      </c>
      <c r="F70" s="7" t="s">
        <v>101</v>
      </c>
      <c r="G70" s="593"/>
      <c r="H70" s="600"/>
      <c r="I70" s="593"/>
      <c r="J70" s="598"/>
      <c r="K70" s="19"/>
      <c r="L70" s="29"/>
      <c r="M70" s="19">
        <v>41</v>
      </c>
      <c r="N70" s="506">
        <v>91189.6</v>
      </c>
      <c r="O70" s="506">
        <v>90789.6</v>
      </c>
      <c r="P70" s="55">
        <v>0</v>
      </c>
      <c r="Q70" s="67">
        <v>0</v>
      </c>
      <c r="R70" s="733">
        <v>41</v>
      </c>
      <c r="S70" s="810">
        <v>90537.600000000006</v>
      </c>
      <c r="T70" s="55">
        <v>0</v>
      </c>
      <c r="U70" s="67">
        <v>0</v>
      </c>
      <c r="V70" s="55"/>
      <c r="W70" s="67"/>
      <c r="X70" s="55">
        <f t="shared" si="1"/>
        <v>41</v>
      </c>
      <c r="Y70" s="589">
        <f t="shared" si="1"/>
        <v>90537.600000000006</v>
      </c>
      <c r="Z70" s="590">
        <f t="shared" si="29"/>
        <v>100</v>
      </c>
      <c r="AA70" s="493">
        <f t="shared" si="29"/>
        <v>99.285006184915829</v>
      </c>
      <c r="AB70" s="601">
        <f>I70+X70</f>
        <v>41</v>
      </c>
      <c r="AC70" s="600">
        <f t="shared" si="3"/>
        <v>90537.600000000006</v>
      </c>
      <c r="AD70" s="842" t="e">
        <f t="shared" si="28"/>
        <v>#DIV/0!</v>
      </c>
      <c r="AE70" s="597" t="e">
        <f t="shared" si="28"/>
        <v>#DIV/0!</v>
      </c>
      <c r="AF70" s="47"/>
      <c r="AG70" s="53" t="s">
        <v>418</v>
      </c>
    </row>
    <row r="71" spans="1:33" ht="48.75" customHeight="1" x14ac:dyDescent="0.25">
      <c r="A71" s="7">
        <v>26</v>
      </c>
      <c r="B71" s="48"/>
      <c r="C71" s="382"/>
      <c r="D71" s="13" t="s">
        <v>69</v>
      </c>
      <c r="E71" s="472" t="s">
        <v>197</v>
      </c>
      <c r="F71" s="46" t="s">
        <v>112</v>
      </c>
      <c r="G71" s="604"/>
      <c r="H71" s="607"/>
      <c r="I71" s="604">
        <f>200+0+0+0</f>
        <v>200</v>
      </c>
      <c r="J71" s="607">
        <f>42002</f>
        <v>42002</v>
      </c>
      <c r="K71" s="459"/>
      <c r="L71" s="57"/>
      <c r="M71" s="459">
        <v>51</v>
      </c>
      <c r="N71" s="69">
        <v>76700</v>
      </c>
      <c r="O71" s="69">
        <v>26450</v>
      </c>
      <c r="P71" s="459">
        <v>15</v>
      </c>
      <c r="Q71" s="69">
        <v>0</v>
      </c>
      <c r="R71" s="753">
        <f>5+7+5</f>
        <v>17</v>
      </c>
      <c r="S71" s="754">
        <v>0</v>
      </c>
      <c r="T71" s="459">
        <f>4+5+3</f>
        <v>12</v>
      </c>
      <c r="U71" s="69">
        <v>0</v>
      </c>
      <c r="V71" s="459"/>
      <c r="W71" s="69"/>
      <c r="X71" s="459">
        <f t="shared" si="1"/>
        <v>44</v>
      </c>
      <c r="Y71" s="594">
        <f t="shared" si="1"/>
        <v>0</v>
      </c>
      <c r="Z71" s="596">
        <f t="shared" si="29"/>
        <v>86.274509803921575</v>
      </c>
      <c r="AA71" s="57">
        <f t="shared" si="29"/>
        <v>0</v>
      </c>
      <c r="AB71" s="839">
        <f>I71+X71</f>
        <v>244</v>
      </c>
      <c r="AC71" s="607">
        <f t="shared" si="3"/>
        <v>42002</v>
      </c>
      <c r="AD71" s="840" t="e">
        <f t="shared" si="28"/>
        <v>#DIV/0!</v>
      </c>
      <c r="AE71" s="841" t="e">
        <f t="shared" si="28"/>
        <v>#DIV/0!</v>
      </c>
      <c r="AF71" s="46"/>
      <c r="AG71" s="53" t="s">
        <v>419</v>
      </c>
    </row>
    <row r="72" spans="1:33" ht="42.75" customHeight="1" x14ac:dyDescent="0.25">
      <c r="A72" s="46"/>
      <c r="B72" s="508" t="s">
        <v>234</v>
      </c>
      <c r="C72" s="507" t="s">
        <v>160</v>
      </c>
      <c r="D72" s="691"/>
      <c r="E72" s="619"/>
      <c r="F72" s="609"/>
      <c r="G72" s="604"/>
      <c r="H72" s="607"/>
      <c r="I72" s="604"/>
      <c r="J72" s="607"/>
      <c r="K72" s="620"/>
      <c r="L72" s="57"/>
      <c r="M72" s="459"/>
      <c r="N72" s="664"/>
      <c r="O72" s="664"/>
      <c r="P72" s="459"/>
      <c r="Q72" s="69"/>
      <c r="R72" s="753"/>
      <c r="S72" s="754"/>
      <c r="T72" s="459"/>
      <c r="U72" s="69"/>
      <c r="V72" s="459"/>
      <c r="W72" s="69"/>
      <c r="X72" s="459"/>
      <c r="Y72" s="594"/>
      <c r="Z72" s="596"/>
      <c r="AA72" s="664"/>
      <c r="AB72" s="839"/>
      <c r="AC72" s="607"/>
      <c r="AD72" s="849"/>
      <c r="AE72" s="841"/>
      <c r="AF72" s="656"/>
    </row>
    <row r="73" spans="1:33" ht="79.5" customHeight="1" x14ac:dyDescent="0.25">
      <c r="A73" s="609">
        <v>27</v>
      </c>
      <c r="B73" s="763" t="s">
        <v>236</v>
      </c>
      <c r="C73" s="827" t="s">
        <v>25</v>
      </c>
      <c r="D73" s="44" t="s">
        <v>70</v>
      </c>
      <c r="E73" s="471" t="s">
        <v>134</v>
      </c>
      <c r="F73" s="611" t="s">
        <v>135</v>
      </c>
      <c r="G73" s="626">
        <v>6</v>
      </c>
      <c r="H73" s="631">
        <v>535000</v>
      </c>
      <c r="I73" s="626">
        <v>4</v>
      </c>
      <c r="J73" s="629">
        <f>91128+52904+70000+79766.95</f>
        <v>293798.95</v>
      </c>
      <c r="K73" s="625">
        <v>1</v>
      </c>
      <c r="L73" s="506">
        <v>109319.6</v>
      </c>
      <c r="M73" s="55">
        <v>1</v>
      </c>
      <c r="N73" s="653">
        <f>129.3+1248+100+2000+1940+1750+6000</f>
        <v>13167.3</v>
      </c>
      <c r="O73" s="654">
        <v>2610.85</v>
      </c>
      <c r="P73" s="622">
        <v>0</v>
      </c>
      <c r="Q73" s="624">
        <v>0</v>
      </c>
      <c r="R73" s="721">
        <v>0</v>
      </c>
      <c r="S73" s="725">
        <v>0</v>
      </c>
      <c r="T73" s="622">
        <v>0</v>
      </c>
      <c r="U73" s="624">
        <v>0</v>
      </c>
      <c r="V73" s="622"/>
      <c r="W73" s="624"/>
      <c r="X73" s="622">
        <f t="shared" si="1"/>
        <v>0</v>
      </c>
      <c r="Y73" s="659">
        <f t="shared" si="1"/>
        <v>0</v>
      </c>
      <c r="Z73" s="660">
        <f t="shared" ref="Z73:AA79" si="30">X73/M73*100</f>
        <v>0</v>
      </c>
      <c r="AA73" s="661">
        <f t="shared" si="30"/>
        <v>0</v>
      </c>
      <c r="AB73" s="652">
        <f>I73+X73</f>
        <v>4</v>
      </c>
      <c r="AC73" s="631">
        <f t="shared" si="3"/>
        <v>293798.95</v>
      </c>
      <c r="AD73" s="752">
        <f t="shared" ref="AD73:AE76" si="31">AB73/G73*100</f>
        <v>66.666666666666657</v>
      </c>
      <c r="AE73" s="628">
        <f t="shared" si="31"/>
        <v>54.915691588785052</v>
      </c>
      <c r="AF73" s="726"/>
    </row>
    <row r="74" spans="1:33" ht="37.5" customHeight="1" x14ac:dyDescent="0.25">
      <c r="A74" s="47"/>
      <c r="B74" s="490"/>
      <c r="C74" s="646"/>
      <c r="D74" s="14"/>
      <c r="E74" s="471" t="s">
        <v>133</v>
      </c>
      <c r="F74" s="611" t="s">
        <v>112</v>
      </c>
      <c r="G74" s="593">
        <v>125</v>
      </c>
      <c r="H74" s="600">
        <v>355000</v>
      </c>
      <c r="I74" s="593"/>
      <c r="J74" s="600"/>
      <c r="K74" s="625"/>
      <c r="L74" s="493"/>
      <c r="M74" s="505">
        <v>35</v>
      </c>
      <c r="N74" s="654">
        <f>368.65+664.9+100+2200+4000+2044</f>
        <v>9377.5499999999993</v>
      </c>
      <c r="O74" s="654">
        <v>0</v>
      </c>
      <c r="P74" s="622">
        <v>0</v>
      </c>
      <c r="Q74" s="624"/>
      <c r="R74" s="721">
        <v>0</v>
      </c>
      <c r="S74" s="725"/>
      <c r="T74" s="622">
        <v>10</v>
      </c>
      <c r="U74" s="624"/>
      <c r="V74" s="622"/>
      <c r="W74" s="624"/>
      <c r="X74" s="626">
        <f>P74+R74+T74+V74</f>
        <v>10</v>
      </c>
      <c r="Y74" s="627">
        <f>Q74+S74+U74+W74</f>
        <v>0</v>
      </c>
      <c r="Z74" s="628">
        <f t="shared" si="30"/>
        <v>28.571428571428569</v>
      </c>
      <c r="AA74" s="751">
        <f t="shared" si="30"/>
        <v>0</v>
      </c>
      <c r="AB74" s="652">
        <f>I74+X74</f>
        <v>10</v>
      </c>
      <c r="AC74" s="631">
        <f>Y74+J74</f>
        <v>0</v>
      </c>
      <c r="AD74" s="752">
        <f t="shared" si="31"/>
        <v>8</v>
      </c>
      <c r="AE74" s="628">
        <f t="shared" si="31"/>
        <v>0</v>
      </c>
      <c r="AF74" s="727"/>
    </row>
    <row r="75" spans="1:33" ht="50.25" customHeight="1" x14ac:dyDescent="0.25">
      <c r="A75" s="482">
        <v>28</v>
      </c>
      <c r="B75" s="489"/>
      <c r="C75" s="828"/>
      <c r="D75" s="44" t="s">
        <v>71</v>
      </c>
      <c r="E75" s="18" t="s">
        <v>136</v>
      </c>
      <c r="F75" s="333" t="s">
        <v>112</v>
      </c>
      <c r="G75" s="626"/>
      <c r="H75" s="631"/>
      <c r="I75" s="626"/>
      <c r="J75" s="631"/>
      <c r="K75" s="28"/>
      <c r="L75" s="29"/>
      <c r="M75" s="56">
        <v>26</v>
      </c>
      <c r="N75" s="654">
        <f>3075+482.75+637.8+490+2600+4400</f>
        <v>11685.55</v>
      </c>
      <c r="O75" s="654">
        <v>4010.55</v>
      </c>
      <c r="P75" s="459">
        <v>0</v>
      </c>
      <c r="Q75" s="69">
        <v>0</v>
      </c>
      <c r="R75" s="753">
        <v>0</v>
      </c>
      <c r="S75" s="809">
        <v>1162.3</v>
      </c>
      <c r="T75" s="459">
        <v>0</v>
      </c>
      <c r="U75" s="69">
        <f>103811.807-Q75-S75</f>
        <v>102649.507</v>
      </c>
      <c r="V75" s="459"/>
      <c r="W75" s="69"/>
      <c r="X75" s="459">
        <f t="shared" si="1"/>
        <v>0</v>
      </c>
      <c r="Y75" s="594">
        <f t="shared" si="1"/>
        <v>103811.807</v>
      </c>
      <c r="Z75" s="596">
        <f t="shared" si="30"/>
        <v>0</v>
      </c>
      <c r="AA75" s="57">
        <f t="shared" si="30"/>
        <v>888.37758599295717</v>
      </c>
      <c r="AB75" s="839">
        <f>I75+X75</f>
        <v>0</v>
      </c>
      <c r="AC75" s="607">
        <f t="shared" si="3"/>
        <v>103811.807</v>
      </c>
      <c r="AD75" s="841" t="e">
        <f t="shared" si="31"/>
        <v>#DIV/0!</v>
      </c>
      <c r="AE75" s="841" t="e">
        <f t="shared" si="31"/>
        <v>#DIV/0!</v>
      </c>
      <c r="AF75" s="46"/>
    </row>
    <row r="76" spans="1:33" ht="50.25" customHeight="1" x14ac:dyDescent="0.25">
      <c r="A76" s="482"/>
      <c r="B76" s="491"/>
      <c r="C76" s="615"/>
      <c r="D76" s="14"/>
      <c r="E76" s="619" t="s">
        <v>137</v>
      </c>
      <c r="F76" s="609" t="s">
        <v>112</v>
      </c>
      <c r="G76" s="626"/>
      <c r="H76" s="631"/>
      <c r="I76" s="626"/>
      <c r="J76" s="631"/>
      <c r="K76" s="620"/>
      <c r="L76" s="57"/>
      <c r="M76" s="504">
        <v>51</v>
      </c>
      <c r="N76" s="580">
        <f>499.3+663+185558.4</f>
        <v>186720.69999999998</v>
      </c>
      <c r="O76" s="580">
        <v>186745.7</v>
      </c>
      <c r="P76" s="622">
        <v>16</v>
      </c>
      <c r="Q76" s="624"/>
      <c r="R76" s="721">
        <f>5+7+5</f>
        <v>17</v>
      </c>
      <c r="S76" s="725"/>
      <c r="T76" s="622">
        <f>9+6+4</f>
        <v>19</v>
      </c>
      <c r="U76" s="624"/>
      <c r="V76" s="622"/>
      <c r="W76" s="624"/>
      <c r="X76" s="753">
        <f t="shared" si="1"/>
        <v>52</v>
      </c>
      <c r="Y76" s="627">
        <f t="shared" si="1"/>
        <v>0</v>
      </c>
      <c r="Z76" s="628">
        <f t="shared" si="30"/>
        <v>101.96078431372548</v>
      </c>
      <c r="AA76" s="629">
        <f t="shared" si="30"/>
        <v>0</v>
      </c>
      <c r="AB76" s="652">
        <f t="shared" ref="AB76:AB103" si="32">I76+X76</f>
        <v>52</v>
      </c>
      <c r="AC76" s="631">
        <f t="shared" si="3"/>
        <v>0</v>
      </c>
      <c r="AD76" s="628" t="e">
        <f t="shared" si="31"/>
        <v>#DIV/0!</v>
      </c>
      <c r="AE76" s="628" t="e">
        <f t="shared" si="31"/>
        <v>#DIV/0!</v>
      </c>
      <c r="AF76" s="482"/>
    </row>
    <row r="77" spans="1:33" s="376" customFormat="1" ht="83.25" customHeight="1" x14ac:dyDescent="0.25">
      <c r="A77" s="52"/>
      <c r="B77" s="700" t="s">
        <v>232</v>
      </c>
      <c r="C77" s="509" t="s">
        <v>158</v>
      </c>
      <c r="D77" s="838" t="s">
        <v>72</v>
      </c>
      <c r="E77" s="852" t="s">
        <v>448</v>
      </c>
      <c r="F77" s="100" t="s">
        <v>441</v>
      </c>
      <c r="G77" s="853"/>
      <c r="H77" s="854"/>
      <c r="I77" s="853"/>
      <c r="J77" s="854"/>
      <c r="K77" s="103">
        <f>SUM(K78:K91)</f>
        <v>189</v>
      </c>
      <c r="L77" s="866">
        <f t="shared" ref="L77:Y77" si="33">SUM(L78:L91)</f>
        <v>1090222.8</v>
      </c>
      <c r="M77" s="103">
        <f t="shared" si="33"/>
        <v>536</v>
      </c>
      <c r="N77" s="866">
        <f t="shared" si="33"/>
        <v>1083638.8999999999</v>
      </c>
      <c r="O77" s="866">
        <f>SUM(O78:O91)</f>
        <v>841488.10000000009</v>
      </c>
      <c r="P77" s="103">
        <f t="shared" si="33"/>
        <v>10</v>
      </c>
      <c r="Q77" s="866">
        <f t="shared" si="33"/>
        <v>20233.5</v>
      </c>
      <c r="R77" s="103">
        <f t="shared" si="33"/>
        <v>260</v>
      </c>
      <c r="S77" s="867">
        <f t="shared" si="33"/>
        <v>278279.32500000001</v>
      </c>
      <c r="T77" s="103">
        <f t="shared" si="33"/>
        <v>74</v>
      </c>
      <c r="U77" s="103">
        <f t="shared" si="33"/>
        <v>57169.4</v>
      </c>
      <c r="V77" s="103">
        <f t="shared" si="33"/>
        <v>0</v>
      </c>
      <c r="W77" s="103">
        <f t="shared" si="33"/>
        <v>0</v>
      </c>
      <c r="X77" s="103">
        <f t="shared" si="33"/>
        <v>332</v>
      </c>
      <c r="Y77" s="867">
        <f t="shared" si="33"/>
        <v>355682.22499999998</v>
      </c>
      <c r="Z77" s="858">
        <f t="shared" si="30"/>
        <v>61.940298507462686</v>
      </c>
      <c r="AA77" s="858">
        <f t="shared" si="30"/>
        <v>32.822947293604912</v>
      </c>
      <c r="AB77" s="856"/>
      <c r="AC77" s="857"/>
      <c r="AD77" s="855"/>
      <c r="AE77" s="858"/>
      <c r="AF77" s="100"/>
    </row>
    <row r="78" spans="1:33" ht="45" customHeight="1" x14ac:dyDescent="0.25">
      <c r="A78" s="47">
        <v>29</v>
      </c>
      <c r="B78" s="489" t="s">
        <v>237</v>
      </c>
      <c r="C78" s="614" t="s">
        <v>23</v>
      </c>
      <c r="D78" s="804" t="s">
        <v>67</v>
      </c>
      <c r="E78" s="473" t="s">
        <v>138</v>
      </c>
      <c r="F78" s="47" t="s">
        <v>112</v>
      </c>
      <c r="G78" s="626">
        <v>215</v>
      </c>
      <c r="H78" s="631">
        <v>1375500</v>
      </c>
      <c r="I78" s="626">
        <f>12+50+29+13</f>
        <v>104</v>
      </c>
      <c r="J78" s="683">
        <f>256450+256848+243547+146639.6</f>
        <v>903484.6</v>
      </c>
      <c r="K78" s="55">
        <v>35</v>
      </c>
      <c r="L78" s="506">
        <v>263122.90000000002</v>
      </c>
      <c r="M78" s="55">
        <v>35</v>
      </c>
      <c r="N78" s="506">
        <v>26072.9</v>
      </c>
      <c r="O78" s="67">
        <v>10842</v>
      </c>
      <c r="P78" s="55">
        <v>2</v>
      </c>
      <c r="Q78" s="67">
        <v>1488</v>
      </c>
      <c r="R78" s="733">
        <v>2</v>
      </c>
      <c r="S78" s="810">
        <f>1785.2-Q78</f>
        <v>297.20000000000005</v>
      </c>
      <c r="T78" s="55">
        <f>1+2+1</f>
        <v>4</v>
      </c>
      <c r="U78" s="67">
        <v>2290.4</v>
      </c>
      <c r="V78" s="55"/>
      <c r="W78" s="67"/>
      <c r="X78" s="55">
        <f t="shared" ref="X78:Y103" si="34">P78+R78+T78+V78</f>
        <v>8</v>
      </c>
      <c r="Y78" s="589">
        <f t="shared" si="34"/>
        <v>4075.6000000000004</v>
      </c>
      <c r="Z78" s="590">
        <f t="shared" si="30"/>
        <v>22.857142857142858</v>
      </c>
      <c r="AA78" s="493">
        <f t="shared" si="30"/>
        <v>15.631556136831732</v>
      </c>
      <c r="AB78" s="601">
        <f t="shared" si="32"/>
        <v>112</v>
      </c>
      <c r="AC78" s="600">
        <f t="shared" si="3"/>
        <v>907560.2</v>
      </c>
      <c r="AD78" s="597">
        <f>AB78/G78*100</f>
        <v>52.093023255813954</v>
      </c>
      <c r="AE78" s="597">
        <f>AC78/H78*100</f>
        <v>65.980385314431118</v>
      </c>
      <c r="AF78" s="47"/>
    </row>
    <row r="79" spans="1:33" ht="42.75" customHeight="1" x14ac:dyDescent="0.25">
      <c r="A79" s="610">
        <v>30</v>
      </c>
      <c r="B79" s="486"/>
      <c r="C79" s="615"/>
      <c r="D79" s="13" t="s">
        <v>73</v>
      </c>
      <c r="E79" s="710" t="s">
        <v>139</v>
      </c>
      <c r="F79" s="610" t="s">
        <v>112</v>
      </c>
      <c r="G79" s="593"/>
      <c r="H79" s="600"/>
      <c r="I79" s="593"/>
      <c r="J79" s="600"/>
      <c r="K79" s="672"/>
      <c r="L79" s="58"/>
      <c r="M79" s="622">
        <v>35</v>
      </c>
      <c r="N79" s="624">
        <v>15600</v>
      </c>
      <c r="O79" s="624">
        <v>12600</v>
      </c>
      <c r="P79" s="622">
        <v>2</v>
      </c>
      <c r="Q79" s="623">
        <v>3145.5</v>
      </c>
      <c r="R79" s="721">
        <v>2</v>
      </c>
      <c r="S79" s="725">
        <v>0</v>
      </c>
      <c r="T79" s="622">
        <f>1+2+1</f>
        <v>4</v>
      </c>
      <c r="U79" s="624">
        <v>0</v>
      </c>
      <c r="V79" s="622"/>
      <c r="W79" s="624"/>
      <c r="X79" s="622">
        <f t="shared" si="34"/>
        <v>8</v>
      </c>
      <c r="Y79" s="659">
        <f t="shared" si="34"/>
        <v>3145.5</v>
      </c>
      <c r="Z79" s="660">
        <f t="shared" si="30"/>
        <v>22.857142857142858</v>
      </c>
      <c r="AA79" s="58">
        <f t="shared" si="30"/>
        <v>20.16346153846154</v>
      </c>
      <c r="AB79" s="652">
        <f t="shared" si="32"/>
        <v>8</v>
      </c>
      <c r="AC79" s="683">
        <f t="shared" si="3"/>
        <v>3145.5</v>
      </c>
      <c r="AD79" s="850" t="e">
        <f>AB79/G79*100</f>
        <v>#DIV/0!</v>
      </c>
      <c r="AE79" s="628" t="e">
        <f>AC79/H79*100</f>
        <v>#DIV/0!</v>
      </c>
      <c r="AF79" s="482"/>
    </row>
    <row r="80" spans="1:33" ht="70.5" customHeight="1" x14ac:dyDescent="0.25">
      <c r="A80" s="46"/>
      <c r="B80" s="700" t="s">
        <v>213</v>
      </c>
      <c r="C80" s="509" t="s">
        <v>157</v>
      </c>
      <c r="D80" s="698"/>
      <c r="E80" s="472"/>
      <c r="F80" s="609"/>
      <c r="G80" s="626"/>
      <c r="H80" s="631"/>
      <c r="I80" s="626"/>
      <c r="J80" s="631"/>
      <c r="K80" s="620"/>
      <c r="L80" s="57"/>
      <c r="M80" s="459"/>
      <c r="N80" s="692"/>
      <c r="O80" s="692"/>
      <c r="P80" s="459"/>
      <c r="Q80" s="69"/>
      <c r="R80" s="753"/>
      <c r="S80" s="754"/>
      <c r="T80" s="459"/>
      <c r="U80" s="69"/>
      <c r="V80" s="504"/>
      <c r="W80" s="69"/>
      <c r="X80" s="756"/>
      <c r="Y80" s="594"/>
      <c r="Z80" s="596"/>
      <c r="AA80" s="57"/>
      <c r="AB80" s="839"/>
      <c r="AC80" s="607">
        <f t="shared" si="3"/>
        <v>0</v>
      </c>
      <c r="AD80" s="841"/>
      <c r="AE80" s="841"/>
      <c r="AF80" s="46"/>
    </row>
    <row r="81" spans="1:33" ht="48" customHeight="1" x14ac:dyDescent="0.25">
      <c r="A81" s="482">
        <v>31</v>
      </c>
      <c r="B81" s="701" t="s">
        <v>238</v>
      </c>
      <c r="C81" s="381" t="s">
        <v>164</v>
      </c>
      <c r="D81" s="832" t="s">
        <v>70</v>
      </c>
      <c r="E81" s="471" t="s">
        <v>145</v>
      </c>
      <c r="F81" s="611" t="s">
        <v>112</v>
      </c>
      <c r="G81" s="626">
        <v>324</v>
      </c>
      <c r="H81" s="631">
        <v>1055000</v>
      </c>
      <c r="I81" s="626">
        <f>60+100+160+210</f>
        <v>530</v>
      </c>
      <c r="J81" s="683">
        <f>82031+130850+407400+810819.1</f>
        <v>1431100.1</v>
      </c>
      <c r="K81" s="625">
        <v>50</v>
      </c>
      <c r="L81" s="67">
        <v>239320</v>
      </c>
      <c r="M81" s="55">
        <v>50</v>
      </c>
      <c r="N81" s="662">
        <f>400+528+12748+1400+197275+4950+4950+500+11900+280+3575</f>
        <v>238506</v>
      </c>
      <c r="O81" s="879">
        <v>242326</v>
      </c>
      <c r="P81" s="622">
        <v>0</v>
      </c>
      <c r="Q81" s="624">
        <v>15600</v>
      </c>
      <c r="R81" s="721">
        <v>50</v>
      </c>
      <c r="S81" s="722">
        <f>266974.125-Q81</f>
        <v>251374.125</v>
      </c>
      <c r="T81" s="622">
        <v>0</v>
      </c>
      <c r="U81" s="624">
        <f>321853.125-Q81-S81</f>
        <v>54879</v>
      </c>
      <c r="V81" s="669"/>
      <c r="W81" s="624"/>
      <c r="X81" s="731">
        <f t="shared" si="34"/>
        <v>50</v>
      </c>
      <c r="Y81" s="659">
        <f t="shared" si="34"/>
        <v>321853.125</v>
      </c>
      <c r="Z81" s="660">
        <f>X81/M81*100</f>
        <v>100</v>
      </c>
      <c r="AA81" s="58">
        <f>Y81/N81*100</f>
        <v>134.94550451560968</v>
      </c>
      <c r="AB81" s="652">
        <f t="shared" si="32"/>
        <v>580</v>
      </c>
      <c r="AC81" s="631">
        <f t="shared" si="3"/>
        <v>1752953.2250000001</v>
      </c>
      <c r="AD81" s="628">
        <f>AB81/G81*100</f>
        <v>179.01234567901236</v>
      </c>
      <c r="AE81" s="628">
        <f>AC81/H81*100</f>
        <v>166.1567037914692</v>
      </c>
      <c r="AF81" s="482"/>
    </row>
    <row r="82" spans="1:33" ht="59.25" customHeight="1" x14ac:dyDescent="0.25">
      <c r="A82" s="482"/>
      <c r="B82" s="701" t="s">
        <v>239</v>
      </c>
      <c r="C82" s="381" t="s">
        <v>22</v>
      </c>
      <c r="D82" s="44"/>
      <c r="E82" s="690" t="s">
        <v>142</v>
      </c>
      <c r="F82" s="610" t="s">
        <v>112</v>
      </c>
      <c r="G82" s="626">
        <v>319</v>
      </c>
      <c r="H82" s="631">
        <v>292500</v>
      </c>
      <c r="I82" s="626">
        <f>69+50+0+40</f>
        <v>159</v>
      </c>
      <c r="J82" s="683">
        <f>41805+180700+0+21519.8</f>
        <v>244024.8</v>
      </c>
      <c r="K82" s="672">
        <v>80</v>
      </c>
      <c r="L82" s="624">
        <v>60000</v>
      </c>
      <c r="M82" s="669">
        <v>80</v>
      </c>
      <c r="N82" s="66">
        <f>482.7+413.3+150+22000+8400+2400+1980+15600+8000</f>
        <v>59426</v>
      </c>
      <c r="O82" s="880">
        <v>46266</v>
      </c>
      <c r="P82" s="721">
        <v>0</v>
      </c>
      <c r="Q82" s="725"/>
      <c r="R82" s="721">
        <v>0</v>
      </c>
      <c r="S82" s="725"/>
      <c r="T82" s="721">
        <v>0</v>
      </c>
      <c r="U82" s="725"/>
      <c r="V82" s="730"/>
      <c r="W82" s="725"/>
      <c r="X82" s="731">
        <f t="shared" si="34"/>
        <v>0</v>
      </c>
      <c r="Y82" s="627">
        <f t="shared" si="34"/>
        <v>0</v>
      </c>
      <c r="Z82" s="628">
        <f>X82/M82*100</f>
        <v>0</v>
      </c>
      <c r="AA82" s="629">
        <f>Y82/N82*100</f>
        <v>0</v>
      </c>
      <c r="AB82" s="652">
        <f t="shared" si="32"/>
        <v>159</v>
      </c>
      <c r="AC82" s="631">
        <f t="shared" ref="AC82:AC103" si="35">Y82+J82</f>
        <v>244024.8</v>
      </c>
      <c r="AD82" s="628">
        <f>AB82/G82*100</f>
        <v>49.843260188087775</v>
      </c>
      <c r="AE82" s="628">
        <f>AC82/H82*100</f>
        <v>83.427282051282049</v>
      </c>
      <c r="AF82" s="482"/>
      <c r="AG82" s="53" t="s">
        <v>421</v>
      </c>
    </row>
    <row r="83" spans="1:33" ht="71.25" customHeight="1" x14ac:dyDescent="0.25">
      <c r="A83" s="482"/>
      <c r="B83" s="702" t="s">
        <v>240</v>
      </c>
      <c r="C83" s="470" t="s">
        <v>266</v>
      </c>
      <c r="D83" s="693"/>
      <c r="E83" s="699"/>
      <c r="F83" s="609"/>
      <c r="G83" s="626"/>
      <c r="H83" s="631"/>
      <c r="I83" s="626"/>
      <c r="J83" s="631"/>
      <c r="K83" s="620"/>
      <c r="L83" s="69"/>
      <c r="M83" s="459"/>
      <c r="N83" s="661"/>
      <c r="O83" s="881"/>
      <c r="P83" s="721"/>
      <c r="Q83" s="725"/>
      <c r="R83" s="721"/>
      <c r="S83" s="725"/>
      <c r="T83" s="721"/>
      <c r="U83" s="725"/>
      <c r="V83" s="730"/>
      <c r="W83" s="725"/>
      <c r="X83" s="731"/>
      <c r="Y83" s="627"/>
      <c r="Z83" s="628"/>
      <c r="AA83" s="629"/>
      <c r="AB83" s="652"/>
      <c r="AC83" s="631"/>
      <c r="AD83" s="628"/>
      <c r="AE83" s="628"/>
      <c r="AF83" s="482"/>
    </row>
    <row r="84" spans="1:33" ht="60.75" customHeight="1" x14ac:dyDescent="0.25">
      <c r="A84" s="482"/>
      <c r="B84" s="489" t="s">
        <v>241</v>
      </c>
      <c r="C84" s="475" t="s">
        <v>165</v>
      </c>
      <c r="D84" s="44"/>
      <c r="E84" s="16" t="s">
        <v>140</v>
      </c>
      <c r="F84" s="610" t="s">
        <v>112</v>
      </c>
      <c r="G84" s="626">
        <v>105</v>
      </c>
      <c r="H84" s="631">
        <v>405000</v>
      </c>
      <c r="I84" s="626">
        <f>20+30+20+20</f>
        <v>90</v>
      </c>
      <c r="J84" s="629">
        <f>47292+74400+0+11999.95</f>
        <v>133691.95000000001</v>
      </c>
      <c r="K84" s="672">
        <v>20</v>
      </c>
      <c r="L84" s="623">
        <v>69319.899999999994</v>
      </c>
      <c r="M84" s="622">
        <v>20</v>
      </c>
      <c r="N84" s="671">
        <f>400+524.8+566.1+360+49000+1200+400+13380</f>
        <v>65830.899999999994</v>
      </c>
      <c r="O84" s="882">
        <v>63830.9</v>
      </c>
      <c r="P84" s="721">
        <v>0</v>
      </c>
      <c r="Q84" s="725"/>
      <c r="R84" s="721">
        <v>0</v>
      </c>
      <c r="S84" s="725"/>
      <c r="T84" s="721">
        <v>0</v>
      </c>
      <c r="U84" s="725"/>
      <c r="V84" s="730"/>
      <c r="W84" s="725"/>
      <c r="X84" s="731">
        <f>P84+R84+T84+V84</f>
        <v>0</v>
      </c>
      <c r="Y84" s="627">
        <f>Q84+S84+U84+W84</f>
        <v>0</v>
      </c>
      <c r="Z84" s="628">
        <f>X84/M84*100</f>
        <v>0</v>
      </c>
      <c r="AA84" s="629">
        <f>Y84/N84*100</f>
        <v>0</v>
      </c>
      <c r="AB84" s="652">
        <f t="shared" si="32"/>
        <v>90</v>
      </c>
      <c r="AC84" s="631">
        <f t="shared" si="35"/>
        <v>133691.95000000001</v>
      </c>
      <c r="AD84" s="628">
        <f>AB84/G84*100</f>
        <v>85.714285714285708</v>
      </c>
      <c r="AE84" s="628">
        <f>AC84/H84*100</f>
        <v>33.010358024691364</v>
      </c>
      <c r="AF84" s="482"/>
    </row>
    <row r="85" spans="1:33" ht="45.75" customHeight="1" x14ac:dyDescent="0.25">
      <c r="A85" s="46"/>
      <c r="B85" s="703" t="s">
        <v>232</v>
      </c>
      <c r="C85" s="507" t="s">
        <v>158</v>
      </c>
      <c r="D85" s="693"/>
      <c r="E85" s="699"/>
      <c r="F85" s="609"/>
      <c r="G85" s="626"/>
      <c r="H85" s="651"/>
      <c r="I85" s="626"/>
      <c r="J85" s="651"/>
      <c r="K85" s="622"/>
      <c r="L85" s="784"/>
      <c r="M85" s="622"/>
      <c r="O85" s="732"/>
      <c r="P85" s="721"/>
      <c r="Q85" s="817"/>
      <c r="R85" s="721"/>
      <c r="S85" s="817"/>
      <c r="T85" s="721"/>
      <c r="U85" s="817"/>
      <c r="V85" s="721"/>
      <c r="W85" s="817"/>
      <c r="X85" s="721"/>
      <c r="Y85" s="818"/>
      <c r="Z85" s="723"/>
      <c r="AA85" s="819"/>
      <c r="AB85" s="652"/>
      <c r="AC85" s="651"/>
      <c r="AD85" s="628"/>
      <c r="AE85" s="851"/>
      <c r="AF85" s="482"/>
    </row>
    <row r="86" spans="1:33" ht="63" customHeight="1" x14ac:dyDescent="0.25">
      <c r="A86" s="482"/>
      <c r="B86" s="487" t="s">
        <v>265</v>
      </c>
      <c r="C86" s="485" t="s">
        <v>264</v>
      </c>
      <c r="D86" s="44"/>
      <c r="E86" s="648" t="s">
        <v>246</v>
      </c>
      <c r="F86" s="621" t="s">
        <v>248</v>
      </c>
      <c r="G86" s="626">
        <v>278</v>
      </c>
      <c r="H86" s="631">
        <v>1900000</v>
      </c>
      <c r="I86" s="626">
        <f>0+64+0+0</f>
        <v>64</v>
      </c>
      <c r="J86" s="717">
        <f>0+225553+0+0</f>
        <v>225553</v>
      </c>
      <c r="K86" s="625">
        <v>1</v>
      </c>
      <c r="L86" s="67">
        <v>10500</v>
      </c>
      <c r="M86" s="55">
        <v>20</v>
      </c>
      <c r="N86" s="581">
        <f>322+200+6178+2200+2440</f>
        <v>11340</v>
      </c>
      <c r="O86" s="883">
        <v>10500</v>
      </c>
      <c r="P86" s="721">
        <v>0</v>
      </c>
      <c r="Q86" s="725"/>
      <c r="R86" s="721">
        <v>0</v>
      </c>
      <c r="S86" s="725"/>
      <c r="T86" s="721">
        <v>0</v>
      </c>
      <c r="U86" s="725"/>
      <c r="V86" s="730"/>
      <c r="W86" s="725"/>
      <c r="X86" s="731">
        <f t="shared" si="34"/>
        <v>0</v>
      </c>
      <c r="Y86" s="627">
        <f t="shared" si="34"/>
        <v>0</v>
      </c>
      <c r="Z86" s="628">
        <f t="shared" ref="Z86:AA92" si="36">X86/M86*100</f>
        <v>0</v>
      </c>
      <c r="AA86" s="629">
        <f t="shared" si="36"/>
        <v>0</v>
      </c>
      <c r="AB86" s="652">
        <f t="shared" si="32"/>
        <v>64</v>
      </c>
      <c r="AC86" s="631">
        <f t="shared" si="35"/>
        <v>225553</v>
      </c>
      <c r="AD86" s="628">
        <f t="shared" ref="AD86:AE92" si="37">AB86/G86*100</f>
        <v>23.021582733812952</v>
      </c>
      <c r="AE86" s="628">
        <f t="shared" si="37"/>
        <v>11.871210526315789</v>
      </c>
      <c r="AF86" s="482"/>
    </row>
    <row r="87" spans="1:33" ht="48" customHeight="1" x14ac:dyDescent="0.25">
      <c r="A87" s="482"/>
      <c r="B87" s="488"/>
      <c r="C87" s="477"/>
      <c r="D87" s="44"/>
      <c r="E87" s="471" t="s">
        <v>143</v>
      </c>
      <c r="F87" s="621" t="s">
        <v>248</v>
      </c>
      <c r="G87" s="626"/>
      <c r="H87" s="631"/>
      <c r="I87" s="626"/>
      <c r="J87" s="631"/>
      <c r="K87" s="625">
        <v>1</v>
      </c>
      <c r="L87" s="67">
        <v>149320</v>
      </c>
      <c r="M87" s="505">
        <v>30</v>
      </c>
      <c r="N87" s="581">
        <f>400+499+3826+600+129000+4500+3675+2100+6480+708</f>
        <v>151788</v>
      </c>
      <c r="O87" s="883">
        <v>147168</v>
      </c>
      <c r="P87" s="721">
        <v>0</v>
      </c>
      <c r="Q87" s="725"/>
      <c r="R87" s="721">
        <v>0</v>
      </c>
      <c r="S87" s="725"/>
      <c r="T87" s="721">
        <v>30</v>
      </c>
      <c r="U87" s="725"/>
      <c r="V87" s="730"/>
      <c r="W87" s="725"/>
      <c r="X87" s="731">
        <f t="shared" si="34"/>
        <v>30</v>
      </c>
      <c r="Y87" s="627">
        <f t="shared" si="34"/>
        <v>0</v>
      </c>
      <c r="Z87" s="628">
        <f t="shared" si="36"/>
        <v>100</v>
      </c>
      <c r="AA87" s="629">
        <f t="shared" si="36"/>
        <v>0</v>
      </c>
      <c r="AB87" s="652">
        <f t="shared" si="32"/>
        <v>30</v>
      </c>
      <c r="AC87" s="631">
        <f t="shared" si="35"/>
        <v>0</v>
      </c>
      <c r="AD87" s="628" t="e">
        <f t="shared" si="37"/>
        <v>#DIV/0!</v>
      </c>
      <c r="AE87" s="628" t="e">
        <f t="shared" si="37"/>
        <v>#DIV/0!</v>
      </c>
      <c r="AF87" s="482"/>
    </row>
    <row r="88" spans="1:33" ht="60" customHeight="1" x14ac:dyDescent="0.25">
      <c r="A88" s="610"/>
      <c r="B88" s="501"/>
      <c r="C88" s="877"/>
      <c r="D88" s="44"/>
      <c r="E88" s="18" t="s">
        <v>144</v>
      </c>
      <c r="F88" s="494" t="s">
        <v>248</v>
      </c>
      <c r="G88" s="626"/>
      <c r="H88" s="631"/>
      <c r="I88" s="626"/>
      <c r="J88" s="631"/>
      <c r="K88" s="28">
        <v>1</v>
      </c>
      <c r="L88" s="9">
        <v>149320</v>
      </c>
      <c r="M88" s="56">
        <v>30</v>
      </c>
      <c r="N88" s="66">
        <f>400+525+2650+520+129000+3675+2100+6480+708</f>
        <v>146058</v>
      </c>
      <c r="O88" s="880">
        <v>145658</v>
      </c>
      <c r="P88" s="721">
        <v>0</v>
      </c>
      <c r="Q88" s="725"/>
      <c r="R88" s="721">
        <v>0</v>
      </c>
      <c r="S88" s="725"/>
      <c r="T88" s="721">
        <v>30</v>
      </c>
      <c r="U88" s="725"/>
      <c r="V88" s="730"/>
      <c r="W88" s="725"/>
      <c r="X88" s="731">
        <f t="shared" si="34"/>
        <v>30</v>
      </c>
      <c r="Y88" s="627">
        <f t="shared" si="34"/>
        <v>0</v>
      </c>
      <c r="Z88" s="628">
        <f t="shared" si="36"/>
        <v>100</v>
      </c>
      <c r="AA88" s="629">
        <f t="shared" si="36"/>
        <v>0</v>
      </c>
      <c r="AB88" s="652">
        <f t="shared" si="32"/>
        <v>30</v>
      </c>
      <c r="AC88" s="631">
        <f t="shared" si="35"/>
        <v>0</v>
      </c>
      <c r="AD88" s="628" t="e">
        <f t="shared" si="37"/>
        <v>#DIV/0!</v>
      </c>
      <c r="AE88" s="628" t="e">
        <f t="shared" si="37"/>
        <v>#DIV/0!</v>
      </c>
      <c r="AF88" s="482"/>
    </row>
    <row r="89" spans="1:33" ht="27.75" customHeight="1" x14ac:dyDescent="0.25">
      <c r="A89" s="47"/>
      <c r="B89" s="491"/>
      <c r="C89" s="484"/>
      <c r="D89" s="14"/>
      <c r="E89" s="18" t="s">
        <v>141</v>
      </c>
      <c r="F89" s="333" t="s">
        <v>112</v>
      </c>
      <c r="G89" s="593"/>
      <c r="H89" s="600"/>
      <c r="I89" s="593"/>
      <c r="J89" s="600"/>
      <c r="K89" s="28"/>
      <c r="L89" s="29"/>
      <c r="M89" s="56">
        <v>35</v>
      </c>
      <c r="N89" s="653">
        <f>499+1444.2+340+59800+62400+62400+5514</f>
        <v>192397.2</v>
      </c>
      <c r="O89" s="884">
        <v>134997.20000000001</v>
      </c>
      <c r="P89" s="733">
        <v>6</v>
      </c>
      <c r="Q89" s="606"/>
      <c r="R89" s="733">
        <v>6</v>
      </c>
      <c r="S89" s="606"/>
      <c r="T89" s="733">
        <v>6</v>
      </c>
      <c r="U89" s="606"/>
      <c r="V89" s="734"/>
      <c r="W89" s="606"/>
      <c r="X89" s="874">
        <v>6</v>
      </c>
      <c r="Y89" s="595">
        <f t="shared" si="34"/>
        <v>0</v>
      </c>
      <c r="Z89" s="597">
        <f t="shared" si="36"/>
        <v>17.142857142857142</v>
      </c>
      <c r="AA89" s="598">
        <f t="shared" si="36"/>
        <v>0</v>
      </c>
      <c r="AB89" s="601">
        <f t="shared" si="32"/>
        <v>6</v>
      </c>
      <c r="AC89" s="600">
        <f t="shared" si="35"/>
        <v>0</v>
      </c>
      <c r="AD89" s="597" t="e">
        <f t="shared" si="37"/>
        <v>#DIV/0!</v>
      </c>
      <c r="AE89" s="597" t="e">
        <f t="shared" si="37"/>
        <v>#DIV/0!</v>
      </c>
      <c r="AF89" s="47"/>
    </row>
    <row r="90" spans="1:33" ht="72" customHeight="1" x14ac:dyDescent="0.25">
      <c r="A90" s="47">
        <v>32</v>
      </c>
      <c r="B90" s="48"/>
      <c r="C90" s="382"/>
      <c r="D90" s="14" t="s">
        <v>74</v>
      </c>
      <c r="E90" s="4" t="s">
        <v>146</v>
      </c>
      <c r="F90" s="7" t="s">
        <v>147</v>
      </c>
      <c r="G90" s="593"/>
      <c r="H90" s="600"/>
      <c r="I90" s="593"/>
      <c r="J90" s="600"/>
      <c r="K90" s="19"/>
      <c r="L90" s="29"/>
      <c r="M90" s="19">
        <v>200</v>
      </c>
      <c r="N90" s="67">
        <v>27300</v>
      </c>
      <c r="O90" s="67">
        <v>27300</v>
      </c>
      <c r="P90" s="55">
        <v>0</v>
      </c>
      <c r="Q90" s="67">
        <v>0</v>
      </c>
      <c r="R90" s="733">
        <v>200</v>
      </c>
      <c r="S90" s="606">
        <v>26608</v>
      </c>
      <c r="T90" s="55">
        <v>0</v>
      </c>
      <c r="U90" s="67">
        <v>0</v>
      </c>
      <c r="V90" s="55"/>
      <c r="W90" s="67"/>
      <c r="X90" s="55">
        <f t="shared" si="34"/>
        <v>200</v>
      </c>
      <c r="Y90" s="589">
        <f t="shared" si="34"/>
        <v>26608</v>
      </c>
      <c r="Z90" s="590">
        <f t="shared" si="36"/>
        <v>100</v>
      </c>
      <c r="AA90" s="493">
        <f t="shared" si="36"/>
        <v>97.465201465201474</v>
      </c>
      <c r="AB90" s="601">
        <f t="shared" si="32"/>
        <v>200</v>
      </c>
      <c r="AC90" s="600">
        <f t="shared" si="35"/>
        <v>26608</v>
      </c>
      <c r="AD90" s="842" t="e">
        <f t="shared" si="37"/>
        <v>#DIV/0!</v>
      </c>
      <c r="AE90" s="597" t="e">
        <f t="shared" si="37"/>
        <v>#DIV/0!</v>
      </c>
      <c r="AF90" s="47"/>
    </row>
    <row r="91" spans="1:33" ht="60.75" customHeight="1" x14ac:dyDescent="0.25">
      <c r="A91" s="7">
        <v>33</v>
      </c>
      <c r="B91" s="48" t="s">
        <v>261</v>
      </c>
      <c r="C91" s="381" t="s">
        <v>260</v>
      </c>
      <c r="D91" s="6" t="s">
        <v>75</v>
      </c>
      <c r="E91" s="4" t="s">
        <v>148</v>
      </c>
      <c r="F91" s="7" t="s">
        <v>125</v>
      </c>
      <c r="G91" s="418">
        <v>5</v>
      </c>
      <c r="H91" s="142">
        <v>750000</v>
      </c>
      <c r="I91" s="418">
        <v>0</v>
      </c>
      <c r="J91" s="142">
        <f>0+245572+32402+0</f>
        <v>277974</v>
      </c>
      <c r="K91" s="19">
        <v>1</v>
      </c>
      <c r="L91" s="9">
        <v>149320</v>
      </c>
      <c r="M91" s="19">
        <v>1</v>
      </c>
      <c r="N91" s="23">
        <v>149319.9</v>
      </c>
      <c r="O91" s="29">
        <v>0</v>
      </c>
      <c r="P91" s="19">
        <v>0</v>
      </c>
      <c r="Q91" s="9">
        <v>0</v>
      </c>
      <c r="R91" s="805">
        <v>0</v>
      </c>
      <c r="S91" s="284">
        <v>0</v>
      </c>
      <c r="T91" s="19">
        <v>0</v>
      </c>
      <c r="U91" s="9">
        <v>0</v>
      </c>
      <c r="V91" s="19"/>
      <c r="W91" s="9"/>
      <c r="X91" s="19">
        <f t="shared" si="34"/>
        <v>0</v>
      </c>
      <c r="Y91" s="68">
        <f t="shared" si="34"/>
        <v>0</v>
      </c>
      <c r="Z91" s="410">
        <f t="shared" si="36"/>
        <v>0</v>
      </c>
      <c r="AA91" s="29">
        <f t="shared" si="36"/>
        <v>0</v>
      </c>
      <c r="AB91" s="455">
        <f t="shared" si="32"/>
        <v>0</v>
      </c>
      <c r="AC91" s="142">
        <f t="shared" si="35"/>
        <v>277974</v>
      </c>
      <c r="AD91" s="433">
        <f t="shared" si="37"/>
        <v>0</v>
      </c>
      <c r="AE91" s="419">
        <f t="shared" si="37"/>
        <v>37.063200000000002</v>
      </c>
      <c r="AF91" s="7"/>
    </row>
    <row r="92" spans="1:33" s="376" customFormat="1" ht="33" customHeight="1" x14ac:dyDescent="0.25">
      <c r="A92" s="553" t="s">
        <v>7</v>
      </c>
      <c r="B92" s="575" t="s">
        <v>242</v>
      </c>
      <c r="C92" s="824" t="s">
        <v>159</v>
      </c>
      <c r="D92" s="463" t="s">
        <v>76</v>
      </c>
      <c r="E92" s="576" t="s">
        <v>149</v>
      </c>
      <c r="F92" s="555" t="s">
        <v>93</v>
      </c>
      <c r="G92" s="556">
        <v>1.01</v>
      </c>
      <c r="H92" s="557">
        <f>SUM(H94:H96)</f>
        <v>703200</v>
      </c>
      <c r="I92" s="556">
        <v>0.79</v>
      </c>
      <c r="J92" s="557">
        <f>SUM(J94:J96)</f>
        <v>357661</v>
      </c>
      <c r="K92" s="556">
        <v>0.83</v>
      </c>
      <c r="L92" s="559">
        <f>SUM(L94:L96)</f>
        <v>199319.85</v>
      </c>
      <c r="M92" s="556">
        <v>0.83</v>
      </c>
      <c r="N92" s="559">
        <f>SUM(N94:N96)</f>
        <v>199319.85</v>
      </c>
      <c r="O92" s="559">
        <f>SUM(O94:O96)</f>
        <v>198919.85</v>
      </c>
      <c r="P92" s="556">
        <v>0.79</v>
      </c>
      <c r="Q92" s="557">
        <f>SUM(Q94:Q96)</f>
        <v>0</v>
      </c>
      <c r="R92" s="570">
        <v>2.1000000000000001E-2</v>
      </c>
      <c r="S92" s="836">
        <f>SUM(S94:S96)</f>
        <v>2104.5</v>
      </c>
      <c r="T92" s="570">
        <v>0.18</v>
      </c>
      <c r="U92" s="836">
        <f>SUM(U94:U96)</f>
        <v>134000</v>
      </c>
      <c r="V92" s="836">
        <f>SUM(V94:V96)</f>
        <v>0</v>
      </c>
      <c r="W92" s="836">
        <f>SUM(W94:W96)</f>
        <v>0</v>
      </c>
      <c r="X92" s="559">
        <f>P92+R92+T92+V92</f>
        <v>0.9910000000000001</v>
      </c>
      <c r="Y92" s="562">
        <f>Q92+S92+U92+W92</f>
        <v>136104.5</v>
      </c>
      <c r="Z92" s="558">
        <f t="shared" si="36"/>
        <v>119.39759036144579</v>
      </c>
      <c r="AA92" s="559">
        <f t="shared" si="36"/>
        <v>68.284468405931463</v>
      </c>
      <c r="AB92" s="558">
        <f>+X92</f>
        <v>0.9910000000000001</v>
      </c>
      <c r="AC92" s="557">
        <f t="shared" si="35"/>
        <v>493765.5</v>
      </c>
      <c r="AD92" s="573">
        <f t="shared" si="37"/>
        <v>98.118811881188122</v>
      </c>
      <c r="AE92" s="558">
        <f t="shared" si="37"/>
        <v>70.216936860068259</v>
      </c>
      <c r="AF92" s="555"/>
    </row>
    <row r="93" spans="1:33" ht="43.5" customHeight="1" x14ac:dyDescent="0.25">
      <c r="A93" s="510"/>
      <c r="B93" s="549"/>
      <c r="C93" s="829"/>
      <c r="D93" s="551" t="s">
        <v>77</v>
      </c>
      <c r="E93" s="512" t="s">
        <v>445</v>
      </c>
      <c r="F93" s="531" t="s">
        <v>441</v>
      </c>
      <c r="G93" s="675"/>
      <c r="H93" s="676"/>
      <c r="I93" s="675"/>
      <c r="J93" s="676"/>
      <c r="K93" s="540">
        <f>SUM(K94:K96)</f>
        <v>125</v>
      </c>
      <c r="L93" s="869">
        <f t="shared" ref="L93:Y93" si="38">SUM(L94:L96)</f>
        <v>199319.85</v>
      </c>
      <c r="M93" s="540">
        <f t="shared" si="38"/>
        <v>185</v>
      </c>
      <c r="N93" s="869">
        <f t="shared" si="38"/>
        <v>199319.85</v>
      </c>
      <c r="O93" s="869">
        <f t="shared" si="38"/>
        <v>198919.85</v>
      </c>
      <c r="P93" s="540">
        <f t="shared" si="38"/>
        <v>20</v>
      </c>
      <c r="Q93" s="540">
        <f t="shared" si="38"/>
        <v>0</v>
      </c>
      <c r="R93" s="540">
        <f t="shared" si="38"/>
        <v>14</v>
      </c>
      <c r="S93" s="868">
        <f t="shared" si="38"/>
        <v>2104.5</v>
      </c>
      <c r="T93" s="540">
        <f t="shared" si="38"/>
        <v>116</v>
      </c>
      <c r="U93" s="875">
        <f t="shared" si="38"/>
        <v>134000</v>
      </c>
      <c r="V93" s="540">
        <f t="shared" si="38"/>
        <v>0</v>
      </c>
      <c r="W93" s="540">
        <f t="shared" si="38"/>
        <v>0</v>
      </c>
      <c r="X93" s="540">
        <f t="shared" si="38"/>
        <v>150</v>
      </c>
      <c r="Y93" s="870">
        <f t="shared" si="38"/>
        <v>136104.5</v>
      </c>
      <c r="Z93" s="585">
        <f>X93/M93*100</f>
        <v>81.081081081081081</v>
      </c>
      <c r="AA93" s="585">
        <f>Y93/N93*100</f>
        <v>68.284468405931463</v>
      </c>
      <c r="AB93" s="523"/>
      <c r="AC93" s="524"/>
      <c r="AD93" s="525"/>
      <c r="AE93" s="521"/>
      <c r="AF93" s="510"/>
    </row>
    <row r="94" spans="1:33" ht="39" customHeight="1" x14ac:dyDescent="0.25">
      <c r="A94" s="333">
        <v>34</v>
      </c>
      <c r="B94" s="487" t="s">
        <v>243</v>
      </c>
      <c r="C94" s="614" t="s">
        <v>193</v>
      </c>
      <c r="D94" s="6" t="s">
        <v>78</v>
      </c>
      <c r="E94" s="4" t="s">
        <v>150</v>
      </c>
      <c r="F94" s="333" t="s">
        <v>112</v>
      </c>
      <c r="G94" s="604">
        <v>585</v>
      </c>
      <c r="H94" s="607">
        <v>703200</v>
      </c>
      <c r="I94" s="604">
        <f>36+86+98+0</f>
        <v>220</v>
      </c>
      <c r="J94" s="607">
        <f>62767+142804+152090+0</f>
        <v>357661</v>
      </c>
      <c r="K94" s="459">
        <v>125</v>
      </c>
      <c r="L94" s="57">
        <v>199319.85</v>
      </c>
      <c r="M94" s="28">
        <v>55</v>
      </c>
      <c r="N94" s="9">
        <v>21541</v>
      </c>
      <c r="O94" s="9">
        <v>21541</v>
      </c>
      <c r="P94" s="19">
        <f>7+6+6</f>
        <v>19</v>
      </c>
      <c r="Q94" s="9">
        <v>0</v>
      </c>
      <c r="R94" s="805">
        <f>7+6</f>
        <v>13</v>
      </c>
      <c r="S94" s="284">
        <v>1091</v>
      </c>
      <c r="T94" s="19">
        <f>2+9+5</f>
        <v>16</v>
      </c>
      <c r="U94" s="9">
        <v>4400</v>
      </c>
      <c r="V94" s="19"/>
      <c r="W94" s="9"/>
      <c r="X94" s="19">
        <f t="shared" si="34"/>
        <v>48</v>
      </c>
      <c r="Y94" s="68">
        <f t="shared" si="34"/>
        <v>5491</v>
      </c>
      <c r="Z94" s="410">
        <f t="shared" ref="Z94:AA100" si="39">X94/M94*100</f>
        <v>87.272727272727266</v>
      </c>
      <c r="AA94" s="29">
        <f t="shared" si="39"/>
        <v>25.490924283923682</v>
      </c>
      <c r="AB94" s="455">
        <f t="shared" si="32"/>
        <v>268</v>
      </c>
      <c r="AC94" s="142">
        <f t="shared" si="35"/>
        <v>363152</v>
      </c>
      <c r="AD94" s="433">
        <f t="shared" ref="AD94:AE97" si="40">AB94/G94*100</f>
        <v>45.811965811965813</v>
      </c>
      <c r="AE94" s="419">
        <f t="shared" si="40"/>
        <v>51.642775881683733</v>
      </c>
      <c r="AF94" s="7"/>
    </row>
    <row r="95" spans="1:33" ht="33.75" customHeight="1" x14ac:dyDescent="0.25">
      <c r="A95" s="333">
        <v>35</v>
      </c>
      <c r="B95" s="488"/>
      <c r="C95" s="613"/>
      <c r="D95" s="6" t="s">
        <v>79</v>
      </c>
      <c r="E95" s="4" t="s">
        <v>151</v>
      </c>
      <c r="F95" s="333" t="s">
        <v>112</v>
      </c>
      <c r="G95" s="496"/>
      <c r="H95" s="498"/>
      <c r="I95" s="496"/>
      <c r="J95" s="498"/>
      <c r="K95" s="622"/>
      <c r="L95" s="58"/>
      <c r="M95" s="28">
        <v>30</v>
      </c>
      <c r="N95" s="9">
        <v>11666</v>
      </c>
      <c r="O95" s="9">
        <v>11666</v>
      </c>
      <c r="P95" s="19">
        <v>1</v>
      </c>
      <c r="Q95" s="9">
        <v>0</v>
      </c>
      <c r="R95" s="805">
        <v>1</v>
      </c>
      <c r="S95" s="76">
        <v>1013.5</v>
      </c>
      <c r="T95" s="19">
        <f>0+0+0</f>
        <v>0</v>
      </c>
      <c r="U95" s="9">
        <v>0</v>
      </c>
      <c r="V95" s="19"/>
      <c r="W95" s="9"/>
      <c r="X95" s="19">
        <f t="shared" si="34"/>
        <v>2</v>
      </c>
      <c r="Y95" s="68">
        <f t="shared" si="34"/>
        <v>1013.5</v>
      </c>
      <c r="Z95" s="410">
        <f t="shared" si="39"/>
        <v>6.666666666666667</v>
      </c>
      <c r="AA95" s="29">
        <f t="shared" si="39"/>
        <v>8.6876392936739233</v>
      </c>
      <c r="AB95" s="455">
        <f t="shared" si="32"/>
        <v>2</v>
      </c>
      <c r="AC95" s="142">
        <f t="shared" si="35"/>
        <v>1013.5</v>
      </c>
      <c r="AD95" s="433" t="e">
        <f t="shared" si="40"/>
        <v>#DIV/0!</v>
      </c>
      <c r="AE95" s="419" t="e">
        <f t="shared" si="40"/>
        <v>#DIV/0!</v>
      </c>
      <c r="AF95" s="7"/>
    </row>
    <row r="96" spans="1:33" ht="46.5" customHeight="1" x14ac:dyDescent="0.25">
      <c r="A96" s="333">
        <v>36</v>
      </c>
      <c r="B96" s="486"/>
      <c r="C96" s="615"/>
      <c r="D96" s="6" t="s">
        <v>80</v>
      </c>
      <c r="E96" s="4" t="s">
        <v>152</v>
      </c>
      <c r="F96" s="333" t="s">
        <v>112</v>
      </c>
      <c r="G96" s="495"/>
      <c r="H96" s="497"/>
      <c r="I96" s="495"/>
      <c r="J96" s="497"/>
      <c r="K96" s="55"/>
      <c r="L96" s="493"/>
      <c r="M96" s="28">
        <v>100</v>
      </c>
      <c r="N96" s="29">
        <v>166112.85</v>
      </c>
      <c r="O96" s="29">
        <v>165712.85</v>
      </c>
      <c r="P96" s="19">
        <v>0</v>
      </c>
      <c r="Q96" s="9">
        <v>0</v>
      </c>
      <c r="R96" s="805">
        <v>0</v>
      </c>
      <c r="S96" s="284">
        <v>0</v>
      </c>
      <c r="T96" s="19">
        <v>100</v>
      </c>
      <c r="U96" s="9">
        <v>129600</v>
      </c>
      <c r="V96" s="19"/>
      <c r="W96" s="9"/>
      <c r="X96" s="19">
        <f t="shared" si="34"/>
        <v>100</v>
      </c>
      <c r="Y96" s="68">
        <f t="shared" si="34"/>
        <v>129600</v>
      </c>
      <c r="Z96" s="410">
        <f t="shared" si="39"/>
        <v>100</v>
      </c>
      <c r="AA96" s="29">
        <f t="shared" si="39"/>
        <v>78.019250166377844</v>
      </c>
      <c r="AB96" s="455">
        <f t="shared" si="32"/>
        <v>100</v>
      </c>
      <c r="AC96" s="142">
        <f t="shared" si="35"/>
        <v>129600</v>
      </c>
      <c r="AD96" s="433" t="e">
        <f t="shared" si="40"/>
        <v>#DIV/0!</v>
      </c>
      <c r="AE96" s="419" t="e">
        <f t="shared" si="40"/>
        <v>#DIV/0!</v>
      </c>
      <c r="AF96" s="7"/>
    </row>
    <row r="97" spans="1:32" s="376" customFormat="1" ht="45.75" customHeight="1" x14ac:dyDescent="0.25">
      <c r="A97" s="553"/>
      <c r="B97" s="577" t="s">
        <v>232</v>
      </c>
      <c r="C97" s="830" t="s">
        <v>158</v>
      </c>
      <c r="D97" s="463" t="s">
        <v>76</v>
      </c>
      <c r="E97" s="576" t="s">
        <v>198</v>
      </c>
      <c r="F97" s="555" t="s">
        <v>93</v>
      </c>
      <c r="G97" s="678">
        <v>0.33</v>
      </c>
      <c r="H97" s="679">
        <f>SUM(H99:H100)</f>
        <v>2125000</v>
      </c>
      <c r="I97" s="644">
        <f>0.23+0.03+0.053+0.018</f>
        <v>0.33100000000000002</v>
      </c>
      <c r="J97" s="679">
        <f>SUM(J99:J100)</f>
        <v>1742154</v>
      </c>
      <c r="K97" s="678">
        <v>0.28999999999999998</v>
      </c>
      <c r="L97" s="643">
        <f>SUM(L99:L100)</f>
        <v>1073851.6499999999</v>
      </c>
      <c r="M97" s="556">
        <v>0.28999999999999998</v>
      </c>
      <c r="N97" s="559">
        <f>SUM(N99:N100)</f>
        <v>1073851.6499999999</v>
      </c>
      <c r="O97" s="559">
        <f>SUM(O99:O100)</f>
        <v>68260</v>
      </c>
      <c r="P97" s="558">
        <v>0.33</v>
      </c>
      <c r="Q97" s="559">
        <f>SUM(Q99:Q100)</f>
        <v>494.3</v>
      </c>
      <c r="R97" s="570">
        <f>1/26</f>
        <v>3.8461538461538464E-2</v>
      </c>
      <c r="S97" s="568">
        <f>SUM(S99:S100)</f>
        <v>3280</v>
      </c>
      <c r="T97" s="570">
        <v>0.01</v>
      </c>
      <c r="U97" s="568">
        <f>SUM(U99:U100)</f>
        <v>4770</v>
      </c>
      <c r="V97" s="568">
        <f>SUM(V99:V100)</f>
        <v>0</v>
      </c>
      <c r="W97" s="568">
        <f>SUM(W99:W100)</f>
        <v>0</v>
      </c>
      <c r="X97" s="559">
        <f>P97+R97+T97+V97</f>
        <v>0.37846153846153852</v>
      </c>
      <c r="Y97" s="562">
        <f>Q97+S97+U97+W97</f>
        <v>8544.2999999999993</v>
      </c>
      <c r="Z97" s="558">
        <f t="shared" si="39"/>
        <v>130.50397877984088</v>
      </c>
      <c r="AA97" s="559">
        <f t="shared" si="39"/>
        <v>0.79566856371641281</v>
      </c>
      <c r="AB97" s="558">
        <f>I97+X97</f>
        <v>0.70946153846153859</v>
      </c>
      <c r="AC97" s="571">
        <f>Y97+J97</f>
        <v>1750698.3</v>
      </c>
      <c r="AD97" s="573">
        <f t="shared" si="40"/>
        <v>214.98834498834501</v>
      </c>
      <c r="AE97" s="558">
        <f t="shared" si="40"/>
        <v>82.38580235294117</v>
      </c>
      <c r="AF97" s="555"/>
    </row>
    <row r="98" spans="1:32" ht="53.25" customHeight="1" x14ac:dyDescent="0.25">
      <c r="A98" s="510"/>
      <c r="B98" s="552"/>
      <c r="C98" s="547"/>
      <c r="D98" s="513" t="s">
        <v>81</v>
      </c>
      <c r="E98" s="512" t="s">
        <v>446</v>
      </c>
      <c r="F98" s="531" t="s">
        <v>439</v>
      </c>
      <c r="G98" s="516"/>
      <c r="H98" s="515"/>
      <c r="I98" s="516"/>
      <c r="J98" s="515"/>
      <c r="K98" s="538">
        <f>SUM(K99:K100)</f>
        <v>1012</v>
      </c>
      <c r="L98" s="861">
        <f t="shared" ref="L98:Y98" si="41">SUM(L99:L100)</f>
        <v>1073851.6499999999</v>
      </c>
      <c r="M98" s="538">
        <f t="shared" si="41"/>
        <v>26</v>
      </c>
      <c r="N98" s="861">
        <f t="shared" si="41"/>
        <v>1073851.6499999999</v>
      </c>
      <c r="O98" s="862">
        <f t="shared" si="41"/>
        <v>68260</v>
      </c>
      <c r="P98" s="538">
        <f t="shared" si="41"/>
        <v>0</v>
      </c>
      <c r="Q98" s="861">
        <f t="shared" si="41"/>
        <v>494.3</v>
      </c>
      <c r="R98" s="538">
        <f t="shared" si="41"/>
        <v>1</v>
      </c>
      <c r="S98" s="860">
        <f t="shared" si="41"/>
        <v>3280</v>
      </c>
      <c r="T98" s="860">
        <f t="shared" si="41"/>
        <v>0</v>
      </c>
      <c r="U98" s="860">
        <f t="shared" si="41"/>
        <v>4770</v>
      </c>
      <c r="V98" s="860">
        <f t="shared" si="41"/>
        <v>0</v>
      </c>
      <c r="W98" s="860">
        <f t="shared" si="41"/>
        <v>0</v>
      </c>
      <c r="X98" s="538">
        <f t="shared" si="41"/>
        <v>1</v>
      </c>
      <c r="Y98" s="863">
        <f t="shared" si="41"/>
        <v>8544.2999999999993</v>
      </c>
      <c r="Z98" s="544">
        <f t="shared" si="39"/>
        <v>3.8461538461538463</v>
      </c>
      <c r="AA98" s="544">
        <f t="shared" si="39"/>
        <v>0.79566856371641281</v>
      </c>
      <c r="AB98" s="523"/>
      <c r="AC98" s="520"/>
      <c r="AD98" s="525"/>
      <c r="AE98" s="521"/>
      <c r="AF98" s="510"/>
    </row>
    <row r="99" spans="1:32" ht="48" customHeight="1" x14ac:dyDescent="0.25">
      <c r="A99" s="7">
        <v>37</v>
      </c>
      <c r="B99" s="48" t="s">
        <v>244</v>
      </c>
      <c r="C99" s="381" t="s">
        <v>259</v>
      </c>
      <c r="D99" s="6" t="s">
        <v>82</v>
      </c>
      <c r="E99" s="4" t="s">
        <v>153</v>
      </c>
      <c r="F99" s="7" t="s">
        <v>95</v>
      </c>
      <c r="G99" s="418">
        <v>5</v>
      </c>
      <c r="H99" s="142">
        <v>350000</v>
      </c>
      <c r="I99" s="418">
        <v>4</v>
      </c>
      <c r="J99" s="142">
        <f>124885+45579+0+4700</f>
        <v>175164</v>
      </c>
      <c r="K99" s="19">
        <v>1</v>
      </c>
      <c r="L99" s="9">
        <v>70000</v>
      </c>
      <c r="M99" s="19">
        <v>1</v>
      </c>
      <c r="N99" s="9">
        <v>2760</v>
      </c>
      <c r="O99" s="9">
        <v>2760</v>
      </c>
      <c r="P99" s="19">
        <v>0</v>
      </c>
      <c r="Q99" s="23">
        <v>494.3</v>
      </c>
      <c r="R99" s="805">
        <v>1</v>
      </c>
      <c r="S99" s="284">
        <f>1374.3-Q99</f>
        <v>880</v>
      </c>
      <c r="T99" s="19">
        <v>0</v>
      </c>
      <c r="U99" s="9">
        <v>0</v>
      </c>
      <c r="V99" s="19"/>
      <c r="W99" s="9"/>
      <c r="X99" s="19">
        <f t="shared" si="34"/>
        <v>1</v>
      </c>
      <c r="Y99" s="68">
        <f t="shared" si="34"/>
        <v>1374.3</v>
      </c>
      <c r="Z99" s="410">
        <f t="shared" si="39"/>
        <v>100</v>
      </c>
      <c r="AA99" s="29">
        <f t="shared" si="39"/>
        <v>49.793478260869563</v>
      </c>
      <c r="AB99" s="455">
        <f t="shared" si="32"/>
        <v>5</v>
      </c>
      <c r="AC99" s="681">
        <f t="shared" si="35"/>
        <v>176538.3</v>
      </c>
      <c r="AD99" s="433">
        <f t="shared" ref="AD99:AE101" si="42">AB99/G99*100</f>
        <v>100</v>
      </c>
      <c r="AE99" s="419">
        <f t="shared" si="42"/>
        <v>50.439514285714282</v>
      </c>
      <c r="AF99" s="7"/>
    </row>
    <row r="100" spans="1:32" ht="51.75" customHeight="1" x14ac:dyDescent="0.25">
      <c r="A100" s="7">
        <v>38</v>
      </c>
      <c r="B100" s="48" t="s">
        <v>263</v>
      </c>
      <c r="C100" s="381" t="s">
        <v>262</v>
      </c>
      <c r="D100" s="6" t="s">
        <v>81</v>
      </c>
      <c r="E100" s="4" t="s">
        <v>154</v>
      </c>
      <c r="F100" s="15" t="s">
        <v>252</v>
      </c>
      <c r="G100" s="418">
        <v>5</v>
      </c>
      <c r="H100" s="142">
        <v>1775000</v>
      </c>
      <c r="I100" s="418">
        <v>4</v>
      </c>
      <c r="J100" s="142">
        <f>0+1566990+0+0</f>
        <v>1566990</v>
      </c>
      <c r="K100" s="19">
        <v>1011</v>
      </c>
      <c r="L100" s="29">
        <v>1003851.65</v>
      </c>
      <c r="M100" s="19">
        <v>25</v>
      </c>
      <c r="N100" s="29">
        <v>1071091.6499999999</v>
      </c>
      <c r="O100" s="29">
        <v>65500</v>
      </c>
      <c r="P100" s="19">
        <v>0</v>
      </c>
      <c r="Q100" s="9">
        <v>0</v>
      </c>
      <c r="R100" s="805">
        <v>0</v>
      </c>
      <c r="S100" s="284">
        <v>2400</v>
      </c>
      <c r="T100" s="19">
        <v>0</v>
      </c>
      <c r="U100" s="9">
        <f>7170-Q100-S100</f>
        <v>4770</v>
      </c>
      <c r="V100" s="19"/>
      <c r="W100" s="9"/>
      <c r="X100" s="19">
        <f t="shared" si="34"/>
        <v>0</v>
      </c>
      <c r="Y100" s="68">
        <f t="shared" si="34"/>
        <v>7170</v>
      </c>
      <c r="Z100" s="410">
        <f t="shared" si="39"/>
        <v>0</v>
      </c>
      <c r="AA100" s="29">
        <f t="shared" si="39"/>
        <v>0.66941050282671899</v>
      </c>
      <c r="AB100" s="455">
        <f t="shared" si="32"/>
        <v>4</v>
      </c>
      <c r="AC100" s="142">
        <f t="shared" si="35"/>
        <v>1574160</v>
      </c>
      <c r="AD100" s="433">
        <f t="shared" si="42"/>
        <v>80</v>
      </c>
      <c r="AE100" s="419">
        <f t="shared" si="42"/>
        <v>88.685070422535205</v>
      </c>
      <c r="AF100" s="7"/>
    </row>
    <row r="101" spans="1:32" s="376" customFormat="1" ht="48" customHeight="1" x14ac:dyDescent="0.25">
      <c r="A101" s="553" t="s">
        <v>426</v>
      </c>
      <c r="B101" s="575" t="s">
        <v>232</v>
      </c>
      <c r="C101" s="824" t="s">
        <v>158</v>
      </c>
      <c r="D101" s="463" t="s">
        <v>83</v>
      </c>
      <c r="E101" s="554" t="s">
        <v>155</v>
      </c>
      <c r="F101" s="555" t="s">
        <v>93</v>
      </c>
      <c r="G101" s="556">
        <v>100</v>
      </c>
      <c r="H101" s="557">
        <v>1725000</v>
      </c>
      <c r="I101" s="558">
        <f>I103/G103*100</f>
        <v>99.671232876712324</v>
      </c>
      <c r="J101" s="562">
        <v>1402794.8659999999</v>
      </c>
      <c r="K101" s="556">
        <v>100</v>
      </c>
      <c r="L101" s="557">
        <v>400000</v>
      </c>
      <c r="M101" s="556">
        <v>100</v>
      </c>
      <c r="N101" s="557">
        <f>SUM(N103)</f>
        <v>400000</v>
      </c>
      <c r="O101" s="557">
        <f>SUM(O103)</f>
        <v>345510</v>
      </c>
      <c r="P101" s="735">
        <v>25</v>
      </c>
      <c r="Q101" s="557">
        <v>0</v>
      </c>
      <c r="R101" s="815">
        <v>25</v>
      </c>
      <c r="S101" s="568">
        <f>SUM(S103)</f>
        <v>335665</v>
      </c>
      <c r="T101" s="568">
        <v>25</v>
      </c>
      <c r="U101" s="568">
        <f>SUM(U103)</f>
        <v>0</v>
      </c>
      <c r="V101" s="568">
        <v>25</v>
      </c>
      <c r="W101" s="568">
        <f>SUM(W103)</f>
        <v>0</v>
      </c>
      <c r="X101" s="558">
        <f>P101+R101+T101+V101</f>
        <v>100</v>
      </c>
      <c r="Y101" s="562">
        <f>SUM(Y103)</f>
        <v>335665</v>
      </c>
      <c r="Z101" s="579">
        <f>X101/M101*100</f>
        <v>100</v>
      </c>
      <c r="AA101" s="559">
        <f>SUM(AA103)</f>
        <v>83.916250000000005</v>
      </c>
      <c r="AB101" s="572">
        <f t="shared" si="32"/>
        <v>199.67123287671234</v>
      </c>
      <c r="AC101" s="562">
        <f t="shared" si="35"/>
        <v>1738459.8659999999</v>
      </c>
      <c r="AD101" s="573">
        <f t="shared" si="42"/>
        <v>199.67123287671234</v>
      </c>
      <c r="AE101" s="558">
        <f t="shared" si="42"/>
        <v>100.7802820869565</v>
      </c>
      <c r="AF101" s="555"/>
    </row>
    <row r="102" spans="1:32" ht="58.5" customHeight="1" x14ac:dyDescent="0.25">
      <c r="A102" s="510"/>
      <c r="B102" s="552"/>
      <c r="C102" s="547"/>
      <c r="D102" s="513" t="s">
        <v>84</v>
      </c>
      <c r="E102" s="512" t="s">
        <v>447</v>
      </c>
      <c r="F102" s="531" t="s">
        <v>441</v>
      </c>
      <c r="G102" s="516"/>
      <c r="H102" s="515"/>
      <c r="I102" s="516"/>
      <c r="J102" s="515"/>
      <c r="K102" s="538">
        <f>SUM(K103)</f>
        <v>1000</v>
      </c>
      <c r="L102" s="860">
        <f t="shared" ref="L102:Y102" si="43">SUM(L103)</f>
        <v>400000</v>
      </c>
      <c r="M102" s="538">
        <f t="shared" si="43"/>
        <v>1000</v>
      </c>
      <c r="N102" s="860">
        <f t="shared" si="43"/>
        <v>400000</v>
      </c>
      <c r="O102" s="860">
        <f t="shared" si="43"/>
        <v>345510</v>
      </c>
      <c r="P102" s="538">
        <f t="shared" si="43"/>
        <v>71</v>
      </c>
      <c r="Q102" s="538">
        <f t="shared" si="43"/>
        <v>0</v>
      </c>
      <c r="R102" s="538">
        <f t="shared" si="43"/>
        <v>61</v>
      </c>
      <c r="S102" s="860">
        <f t="shared" si="43"/>
        <v>335665</v>
      </c>
      <c r="T102" s="538">
        <f t="shared" si="43"/>
        <v>138</v>
      </c>
      <c r="U102" s="538">
        <f t="shared" si="43"/>
        <v>0</v>
      </c>
      <c r="V102" s="538">
        <f t="shared" si="43"/>
        <v>472</v>
      </c>
      <c r="W102" s="538">
        <f t="shared" si="43"/>
        <v>0</v>
      </c>
      <c r="X102" s="538">
        <f t="shared" si="43"/>
        <v>742</v>
      </c>
      <c r="Y102" s="863">
        <f t="shared" si="43"/>
        <v>335665</v>
      </c>
      <c r="Z102" s="544">
        <f>X102/M102*100</f>
        <v>74.2</v>
      </c>
      <c r="AA102" s="544">
        <f>Y102/N102*100</f>
        <v>83.916250000000005</v>
      </c>
      <c r="AB102" s="521"/>
      <c r="AC102" s="524"/>
      <c r="AD102" s="521"/>
      <c r="AE102" s="521"/>
      <c r="AF102" s="510"/>
    </row>
    <row r="103" spans="1:32" ht="72" customHeight="1" x14ac:dyDescent="0.25">
      <c r="A103" s="7">
        <v>39</v>
      </c>
      <c r="B103" s="48" t="s">
        <v>245</v>
      </c>
      <c r="C103" s="381" t="s">
        <v>194</v>
      </c>
      <c r="D103" s="6" t="s">
        <v>85</v>
      </c>
      <c r="E103" s="4" t="s">
        <v>156</v>
      </c>
      <c r="F103" s="7" t="s">
        <v>147</v>
      </c>
      <c r="G103" s="418">
        <v>3650</v>
      </c>
      <c r="H103" s="142">
        <v>1725000</v>
      </c>
      <c r="I103" s="418">
        <f>100+500+1740+1298</f>
        <v>3638</v>
      </c>
      <c r="J103" s="431">
        <f>127526+117784+399610+757874.866</f>
        <v>1402794.8659999999</v>
      </c>
      <c r="K103" s="19">
        <v>1000</v>
      </c>
      <c r="L103" s="9">
        <v>400000</v>
      </c>
      <c r="M103" s="19">
        <v>1000</v>
      </c>
      <c r="N103" s="9">
        <v>400000</v>
      </c>
      <c r="O103" s="9">
        <v>345510</v>
      </c>
      <c r="P103" s="19">
        <f>68+3</f>
        <v>71</v>
      </c>
      <c r="Q103" s="9">
        <v>0</v>
      </c>
      <c r="R103" s="805">
        <v>61</v>
      </c>
      <c r="S103" s="284">
        <v>335665</v>
      </c>
      <c r="T103" s="19">
        <f>97+15+24+2</f>
        <v>138</v>
      </c>
      <c r="U103" s="9">
        <v>0</v>
      </c>
      <c r="V103" s="19">
        <f>235+230+1+6</f>
        <v>472</v>
      </c>
      <c r="W103" s="9">
        <v>0</v>
      </c>
      <c r="X103" s="19">
        <f t="shared" si="34"/>
        <v>742</v>
      </c>
      <c r="Y103" s="68">
        <f t="shared" si="34"/>
        <v>335665</v>
      </c>
      <c r="Z103" s="410">
        <f>X103/M103*100</f>
        <v>74.2</v>
      </c>
      <c r="AA103" s="29">
        <f>Y103/N103*100</f>
        <v>83.916250000000005</v>
      </c>
      <c r="AB103" s="455">
        <f t="shared" si="32"/>
        <v>4380</v>
      </c>
      <c r="AC103" s="834">
        <f t="shared" si="35"/>
        <v>1738459.8659999999</v>
      </c>
      <c r="AD103" s="419">
        <f>AB103/G103*100</f>
        <v>120</v>
      </c>
      <c r="AE103" s="419">
        <f>AC103/H103*100</f>
        <v>100.7802820869565</v>
      </c>
      <c r="AF103" s="7"/>
    </row>
    <row r="104" spans="1:32" ht="30" customHeight="1" x14ac:dyDescent="0.25">
      <c r="A104" s="788" t="s">
        <v>434</v>
      </c>
      <c r="B104" s="789"/>
      <c r="C104" s="831"/>
      <c r="D104" s="800"/>
      <c r="E104" s="801"/>
      <c r="F104" s="321"/>
      <c r="G104" s="802"/>
      <c r="H104" s="323">
        <f>H9+H13+H16+H21+H31+H40+H41+H42+H62+H63+H64+H92+H97+H101</f>
        <v>33894379</v>
      </c>
      <c r="I104" s="323"/>
      <c r="J104" s="323">
        <f>J9+J13+J16+J21+J31+J40+J41+J42+J62+J63+J64+J92+J97+J101</f>
        <v>19887260.038999997</v>
      </c>
      <c r="K104" s="323"/>
      <c r="L104" s="323">
        <f>L9+L13+L16+L21+L31+L40+L41+L42+L62+L63+L64+L92+L97+L101-L63-L64</f>
        <v>8193244.2279999992</v>
      </c>
      <c r="M104" s="323"/>
      <c r="N104" s="323">
        <f>N9+N13+N16+N21+N31+N40+N41+N42+N62+N63+N64+N92+N97+N101-N63-N64</f>
        <v>10548401.1</v>
      </c>
      <c r="O104" s="323">
        <f>O9+O13+O16+O21+O31+O40+O41+O42+O62+O63+O64+O92+O97+O101-O63-O64</f>
        <v>8781654.2469999995</v>
      </c>
      <c r="P104" s="323"/>
      <c r="Q104" s="323">
        <f>Q11+Q12+Q15+Q18+Q20+Q23+Q25+Q26+Q27+Q29+Q30+Q33+Q34+Q35+Q37+Q38+Q39+Q44+Q46+Q47+Q49+Q53+Q61+Q66+Q70+Q71+Q73+Q75+Q78+Q79+Q81+Q90+Q91+Q94+Q95+Q96+Q99+Q100+Q103</f>
        <v>955895.91200000001</v>
      </c>
      <c r="R104" s="323"/>
      <c r="S104" s="323">
        <f>S11+S12+S15+S18+S20+S23+S25+S26+S27+S29+S30+S33+S34+S35+S37+S38+S39+S44+S46+S47+S49+S53+S61+S66+S70+S71+S73+S75+S78+S79+S81+S90+S91+S94+S95+S96+S99+S100+S103</f>
        <v>2440303.7140000002</v>
      </c>
      <c r="T104" s="323"/>
      <c r="U104" s="834">
        <f>U9+U13+U16+U21+U31+U40+U41+U42+U62+U63+U64+U92+U97+U101</f>
        <v>2575522.2659999998</v>
      </c>
      <c r="V104" s="834" t="s">
        <v>457</v>
      </c>
      <c r="W104" s="834">
        <f>W9+W13+W16+W21+W31+W40+W41+W42+W62+W63+W64+W92+W97+W101</f>
        <v>0</v>
      </c>
      <c r="X104" s="323">
        <f>X9+X13+X16+X21+X31+X40+X41+X42+X62+X63+X64+X92+X97+X101</f>
        <v>639.74578037904121</v>
      </c>
      <c r="Y104" s="323">
        <f>Y11+Y12+Y15+Y18+Y20+Y23+Y25+Y26+Y27+Y29+Y30+Y33+Y34+Y37+Y38+Y39+Y44+Y46+Y47+Y49+Y53+Y61+Y66+Y70+Y71+Y73+Y75+Y78+Y79+Y81+Y90+Y91+Y94+Y95+Y96+Y99+Y100+Y103</f>
        <v>5440892.6599999983</v>
      </c>
      <c r="Z104" s="323"/>
      <c r="AA104" s="816"/>
      <c r="AB104" s="323"/>
      <c r="AC104" s="323">
        <f>AC9+AC16+AC31+AC40+AC41+AC42+AC62+AC63+AC64+AC92+AC97+AC101</f>
        <v>18147472.600000001</v>
      </c>
      <c r="AD104" s="324"/>
      <c r="AE104" s="324"/>
      <c r="AF104" s="324"/>
    </row>
    <row r="105" spans="1:32" ht="30" customHeight="1" x14ac:dyDescent="0.25">
      <c r="A105" s="790" t="s">
        <v>405</v>
      </c>
      <c r="B105" s="376"/>
      <c r="C105" s="827"/>
      <c r="D105" s="618"/>
      <c r="E105" s="16"/>
      <c r="G105" s="782"/>
      <c r="H105" s="651"/>
      <c r="I105" s="782"/>
      <c r="J105" s="783"/>
      <c r="L105" s="10"/>
      <c r="N105" s="10"/>
      <c r="O105" s="10"/>
      <c r="Q105" s="784"/>
      <c r="R105" s="782"/>
      <c r="S105" s="785"/>
      <c r="Y105" s="803">
        <f>Y104/O104</f>
        <v>0.61957491230752149</v>
      </c>
      <c r="Z105" s="786"/>
      <c r="AA105" s="31"/>
      <c r="AB105" s="787"/>
      <c r="AC105" s="74"/>
      <c r="AD105" s="786"/>
      <c r="AE105" s="786"/>
      <c r="AF105" s="658"/>
    </row>
    <row r="106" spans="1:32" ht="30" customHeight="1" x14ac:dyDescent="0.25">
      <c r="A106" s="788" t="s">
        <v>435</v>
      </c>
      <c r="B106" s="789"/>
      <c r="C106" s="831"/>
      <c r="D106" s="1067">
        <v>15</v>
      </c>
      <c r="E106" s="1068"/>
      <c r="F106" s="1068"/>
      <c r="G106" s="1068"/>
      <c r="H106" s="1068"/>
      <c r="I106" s="1068"/>
      <c r="J106" s="1068"/>
      <c r="K106" s="1068"/>
      <c r="L106" s="1068"/>
      <c r="M106" s="1068"/>
      <c r="N106" s="1068"/>
      <c r="O106" s="1068"/>
      <c r="P106" s="1068"/>
      <c r="Q106" s="1068"/>
      <c r="R106" s="1068"/>
      <c r="S106" s="1068"/>
      <c r="T106" s="1068"/>
      <c r="U106" s="1068"/>
      <c r="V106" s="1068"/>
      <c r="W106" s="1068"/>
      <c r="X106" s="1068"/>
      <c r="Y106" s="1068"/>
      <c r="Z106" s="1068"/>
      <c r="AA106" s="1068"/>
      <c r="AB106" s="1068"/>
      <c r="AC106" s="1068"/>
      <c r="AD106" s="1068"/>
      <c r="AE106" s="1068"/>
      <c r="AF106" s="1069"/>
    </row>
    <row r="107" spans="1:32" x14ac:dyDescent="0.25">
      <c r="C107" s="25"/>
      <c r="D107" s="833"/>
      <c r="E107" s="16"/>
    </row>
    <row r="108" spans="1:32" x14ac:dyDescent="0.25">
      <c r="C108" s="27"/>
      <c r="D108" s="53"/>
      <c r="L108" s="71">
        <f>L9+L13+L16+L21+L31+L40+L62+L92+L97+L101-L13</f>
        <v>7686931.7280000001</v>
      </c>
      <c r="N108" s="74">
        <f>N9+N13+N16+N21+N31+N40+N62+N92+N97+N101</f>
        <v>10042088.800000001</v>
      </c>
      <c r="O108" s="74"/>
      <c r="Q108" s="74">
        <f>Q9+Q13+Q16+Q21+Q31+Q40+Q62+Q92+Q97+Q101</f>
        <v>955895.91200000001</v>
      </c>
      <c r="S108" s="71">
        <f>Q104+S104</f>
        <v>3396199.6260000002</v>
      </c>
      <c r="Y108" s="74">
        <f>Y9+Y13+Y16+Y21+Y31+Y40+Y62+Y92+Y97+Y101</f>
        <v>5581443.4399999995</v>
      </c>
    </row>
    <row r="109" spans="1:32" x14ac:dyDescent="0.25">
      <c r="C109" s="24"/>
      <c r="D109" s="53"/>
      <c r="L109" s="444">
        <v>7103021.4280000003</v>
      </c>
      <c r="N109" s="608">
        <v>10548401.1</v>
      </c>
      <c r="O109" s="608">
        <f>N109-157500</f>
        <v>10390901.1</v>
      </c>
    </row>
    <row r="110" spans="1:32" x14ac:dyDescent="0.25">
      <c r="D110" s="53"/>
      <c r="Y110" s="10">
        <v>5546337660</v>
      </c>
    </row>
    <row r="111" spans="1:32" x14ac:dyDescent="0.25">
      <c r="D111" s="53"/>
      <c r="L111" s="446">
        <f>L108-L109</f>
        <v>583910.29999999981</v>
      </c>
      <c r="N111" s="31">
        <f>N109-N108</f>
        <v>506312.29999999888</v>
      </c>
    </row>
    <row r="112" spans="1:32" x14ac:dyDescent="0.25">
      <c r="D112" s="53"/>
    </row>
    <row r="113" spans="4:25" x14ac:dyDescent="0.25">
      <c r="D113" s="53"/>
      <c r="L113" s="445">
        <f>L108-L13</f>
        <v>7686931.7280000001</v>
      </c>
      <c r="Y113" s="10">
        <f>428434863-322989863</f>
        <v>105445000</v>
      </c>
    </row>
    <row r="114" spans="4:25" x14ac:dyDescent="0.25">
      <c r="D114" s="53"/>
      <c r="Y114" s="10">
        <f>Y110-Y113</f>
        <v>5440892660</v>
      </c>
    </row>
    <row r="115" spans="4:25" x14ac:dyDescent="0.25">
      <c r="D115" s="53"/>
      <c r="L115" s="31">
        <f>L104-L109</f>
        <v>1090222.7999999989</v>
      </c>
    </row>
    <row r="116" spans="4:25" x14ac:dyDescent="0.25">
      <c r="D116" s="53"/>
    </row>
    <row r="117" spans="4:25" x14ac:dyDescent="0.25">
      <c r="D117" s="53"/>
      <c r="Y117" s="10">
        <f>Y104*1000</f>
        <v>5440892659.9999981</v>
      </c>
    </row>
    <row r="118" spans="4:25" x14ac:dyDescent="0.25">
      <c r="D118" s="53"/>
      <c r="Y118" s="10">
        <f>Y117-Y114</f>
        <v>0</v>
      </c>
    </row>
    <row r="119" spans="4:25" x14ac:dyDescent="0.25">
      <c r="D119" s="53"/>
    </row>
    <row r="120" spans="4:25" x14ac:dyDescent="0.25">
      <c r="D120" s="53"/>
    </row>
    <row r="121" spans="4:25" x14ac:dyDescent="0.25">
      <c r="D121" s="53"/>
    </row>
    <row r="122" spans="4:25" x14ac:dyDescent="0.25">
      <c r="D122" s="53"/>
    </row>
    <row r="123" spans="4:25" x14ac:dyDescent="0.25">
      <c r="D123" s="53"/>
    </row>
    <row r="124" spans="4:25" x14ac:dyDescent="0.25">
      <c r="D124" s="53"/>
    </row>
    <row r="125" spans="4:25" x14ac:dyDescent="0.25">
      <c r="D125" s="53"/>
    </row>
    <row r="126" spans="4:25" x14ac:dyDescent="0.25">
      <c r="D126" s="53"/>
    </row>
    <row r="127" spans="4:25" x14ac:dyDescent="0.25">
      <c r="D127" s="53"/>
    </row>
    <row r="128" spans="4:25" x14ac:dyDescent="0.25">
      <c r="D128" s="53"/>
    </row>
    <row r="129" spans="4:4" x14ac:dyDescent="0.25">
      <c r="D129" s="53"/>
    </row>
    <row r="130" spans="4:4" x14ac:dyDescent="0.25">
      <c r="D130" s="53"/>
    </row>
    <row r="131" spans="4:4" x14ac:dyDescent="0.25">
      <c r="D131" s="53"/>
    </row>
    <row r="132" spans="4:4" x14ac:dyDescent="0.25">
      <c r="D132" s="53"/>
    </row>
    <row r="133" spans="4:4" x14ac:dyDescent="0.25">
      <c r="D133" s="53"/>
    </row>
    <row r="134" spans="4:4" x14ac:dyDescent="0.25">
      <c r="D134" s="53"/>
    </row>
    <row r="135" spans="4:4" x14ac:dyDescent="0.25">
      <c r="D135" s="53"/>
    </row>
    <row r="136" spans="4:4" x14ac:dyDescent="0.25">
      <c r="D136" s="53"/>
    </row>
    <row r="137" spans="4:4" x14ac:dyDescent="0.25">
      <c r="D137" s="53"/>
    </row>
    <row r="138" spans="4:4" x14ac:dyDescent="0.25">
      <c r="D138" s="53"/>
    </row>
    <row r="139" spans="4:4" x14ac:dyDescent="0.25">
      <c r="D139" s="53"/>
    </row>
    <row r="140" spans="4:4" x14ac:dyDescent="0.25">
      <c r="D140" s="53"/>
    </row>
    <row r="141" spans="4:4" x14ac:dyDescent="0.25">
      <c r="D141" s="53"/>
    </row>
    <row r="142" spans="4:4" x14ac:dyDescent="0.25">
      <c r="D142" s="53"/>
    </row>
    <row r="143" spans="4:4" x14ac:dyDescent="0.25">
      <c r="D143" s="53"/>
    </row>
    <row r="144" spans="4:4" x14ac:dyDescent="0.25">
      <c r="D144" s="53"/>
    </row>
    <row r="145" spans="4:4" x14ac:dyDescent="0.25">
      <c r="D145" s="53"/>
    </row>
    <row r="146" spans="4:4" x14ac:dyDescent="0.25">
      <c r="D146" s="53"/>
    </row>
    <row r="147" spans="4:4" x14ac:dyDescent="0.25">
      <c r="D147" s="53"/>
    </row>
  </sheetData>
  <mergeCells count="33">
    <mergeCell ref="A1:AF1"/>
    <mergeCell ref="A2:AF2"/>
    <mergeCell ref="A4:A7"/>
    <mergeCell ref="B4:B7"/>
    <mergeCell ref="C4:C7"/>
    <mergeCell ref="D4:D7"/>
    <mergeCell ref="E4:E7"/>
    <mergeCell ref="F4:F7"/>
    <mergeCell ref="G4:H6"/>
    <mergeCell ref="I4:J6"/>
    <mergeCell ref="K4:O6"/>
    <mergeCell ref="P4:W4"/>
    <mergeCell ref="X4:Y6"/>
    <mergeCell ref="Z4:AA6"/>
    <mergeCell ref="AB4:AC6"/>
    <mergeCell ref="AF4:AF7"/>
    <mergeCell ref="P5:Q6"/>
    <mergeCell ref="R5:S6"/>
    <mergeCell ref="T5:U6"/>
    <mergeCell ref="V5:W6"/>
    <mergeCell ref="AD4:AE6"/>
    <mergeCell ref="D106:AF106"/>
    <mergeCell ref="T8:U8"/>
    <mergeCell ref="V8:W8"/>
    <mergeCell ref="X8:Y8"/>
    <mergeCell ref="Z8:AA8"/>
    <mergeCell ref="AB8:AC8"/>
    <mergeCell ref="AD8:AE8"/>
    <mergeCell ref="G8:H8"/>
    <mergeCell ref="I8:J8"/>
    <mergeCell ref="K8:N8"/>
    <mergeCell ref="P8:Q8"/>
    <mergeCell ref="R8:S8"/>
  </mergeCells>
  <printOptions horizontalCentered="1"/>
  <pageMargins left="0.19685039370078741" right="0.19685039370078741" top="0" bottom="0" header="0.31496062992125984" footer="0.31496062992125984"/>
  <pageSetup paperSize="14" scale="36" fitToHeight="0" orientation="landscape" r:id="rId1"/>
  <rowBreaks count="3" manualBreakCount="3">
    <brk id="35" max="30" man="1"/>
    <brk id="59" max="30" man="1"/>
    <brk id="83" max="30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O154"/>
  <sheetViews>
    <sheetView showGridLines="0" tabSelected="1" zoomScale="80" zoomScaleNormal="80" workbookViewId="0">
      <pane ySplit="8" topLeftCell="A9" activePane="bottomLeft" state="frozen"/>
      <selection pane="bottomLeft" activeCell="P90" sqref="P90"/>
    </sheetView>
  </sheetViews>
  <sheetFormatPr defaultColWidth="9.140625" defaultRowHeight="12.75" x14ac:dyDescent="0.25"/>
  <cols>
    <col min="1" max="1" width="6.42578125" style="8" customWidth="1"/>
    <col min="2" max="2" width="22" style="53" customWidth="1"/>
    <col min="3" max="3" width="35.28515625" style="16" hidden="1" customWidth="1"/>
    <col min="4" max="4" width="33.5703125" style="766" customWidth="1"/>
    <col min="5" max="5" width="30.7109375" style="53" customWidth="1"/>
    <col min="6" max="6" width="11.7109375" style="8" customWidth="1"/>
    <col min="7" max="7" width="9.140625" style="20" customWidth="1"/>
    <col min="8" max="8" width="15.42578125" style="10" customWidth="1"/>
    <col min="9" max="9" width="9.140625" style="20" customWidth="1"/>
    <col min="10" max="10" width="15.42578125" style="10" customWidth="1"/>
    <col min="11" max="11" width="9.5703125" style="20" customWidth="1"/>
    <col min="12" max="12" width="16.28515625" style="31" customWidth="1"/>
    <col min="13" max="13" width="9.140625" style="20"/>
    <col min="14" max="14" width="17.5703125" style="31" customWidth="1"/>
    <col min="15" max="15" width="15.7109375" style="31" hidden="1" customWidth="1"/>
    <col min="16" max="16" width="8.42578125" style="20" customWidth="1"/>
    <col min="17" max="17" width="15.140625" style="10" customWidth="1"/>
    <col min="18" max="18" width="10" style="20" customWidth="1"/>
    <col min="19" max="19" width="17.5703125" style="10" customWidth="1"/>
    <col min="20" max="20" width="9.140625" style="20" customWidth="1"/>
    <col min="21" max="21" width="16.85546875" style="10" customWidth="1"/>
    <col min="22" max="22" width="9.140625" style="20" customWidth="1"/>
    <col min="23" max="23" width="15.42578125" style="10" customWidth="1"/>
    <col min="24" max="24" width="11.42578125" style="20" customWidth="1"/>
    <col min="25" max="25" width="17.5703125" style="10" customWidth="1"/>
    <col min="26" max="26" width="10.140625" style="20" customWidth="1"/>
    <col min="27" max="27" width="11.28515625" style="10" customWidth="1"/>
    <col min="28" max="28" width="10" style="20" customWidth="1"/>
    <col min="29" max="29" width="16.5703125" style="10" customWidth="1"/>
    <col min="30" max="30" width="10.7109375" style="20" customWidth="1"/>
    <col min="31" max="31" width="9" style="10" customWidth="1"/>
    <col min="32" max="32" width="14.42578125" style="8" customWidth="1"/>
    <col min="33" max="33" width="11.28515625" style="53" customWidth="1"/>
    <col min="34" max="35" width="14.7109375" style="53" hidden="1" customWidth="1"/>
    <col min="36" max="36" width="15.28515625" style="53" hidden="1" customWidth="1"/>
    <col min="37" max="38" width="14.7109375" style="53" hidden="1" customWidth="1"/>
    <col min="39" max="39" width="0" style="53" hidden="1" customWidth="1"/>
    <col min="40" max="40" width="7.7109375" style="53" customWidth="1"/>
    <col min="41" max="16384" width="9.140625" style="53"/>
  </cols>
  <sheetData>
    <row r="1" spans="1:39" ht="18" x14ac:dyDescent="0.25">
      <c r="A1" s="1075" t="s">
        <v>505</v>
      </c>
      <c r="B1" s="1075"/>
      <c r="C1" s="1075"/>
      <c r="D1" s="1075"/>
      <c r="E1" s="1075"/>
      <c r="F1" s="1075"/>
      <c r="G1" s="1075"/>
      <c r="H1" s="1075"/>
      <c r="I1" s="1075"/>
      <c r="J1" s="1075"/>
      <c r="K1" s="1075"/>
      <c r="L1" s="1075"/>
      <c r="M1" s="1075"/>
      <c r="N1" s="1075"/>
      <c r="O1" s="1075"/>
      <c r="P1" s="1075"/>
      <c r="Q1" s="1075"/>
      <c r="R1" s="1075"/>
      <c r="S1" s="1075"/>
      <c r="T1" s="1075"/>
      <c r="U1" s="1075"/>
      <c r="V1" s="1075"/>
      <c r="W1" s="1075"/>
      <c r="X1" s="1075"/>
      <c r="Y1" s="1075"/>
      <c r="Z1" s="1075"/>
      <c r="AA1" s="1075"/>
      <c r="AB1" s="1075"/>
      <c r="AC1" s="1075"/>
      <c r="AD1" s="1075"/>
      <c r="AE1" s="1075"/>
      <c r="AF1" s="1075"/>
    </row>
    <row r="2" spans="1:39" ht="18" x14ac:dyDescent="0.25">
      <c r="A2" s="929"/>
      <c r="B2" s="929"/>
      <c r="C2" s="929"/>
      <c r="D2" s="929"/>
      <c r="E2" s="929"/>
      <c r="F2" s="929"/>
      <c r="G2" s="929"/>
      <c r="H2" s="929"/>
      <c r="I2" s="929"/>
      <c r="J2" s="929"/>
      <c r="K2" s="1075" t="s">
        <v>506</v>
      </c>
      <c r="L2" s="1075"/>
      <c r="M2" s="1075"/>
      <c r="N2" s="1075"/>
      <c r="O2" s="1075"/>
      <c r="P2" s="1075"/>
      <c r="Q2" s="1075"/>
      <c r="R2" s="1075"/>
      <c r="S2" s="929"/>
      <c r="T2" s="929"/>
      <c r="U2" s="929"/>
      <c r="V2" s="929"/>
      <c r="W2" s="929"/>
      <c r="X2" s="929"/>
      <c r="Y2" s="929"/>
      <c r="Z2" s="929"/>
      <c r="AA2" s="929"/>
      <c r="AB2" s="929"/>
      <c r="AC2" s="929"/>
      <c r="AD2" s="929"/>
      <c r="AE2" s="929"/>
      <c r="AF2" s="929"/>
    </row>
    <row r="3" spans="1:39" ht="18" x14ac:dyDescent="0.25">
      <c r="A3" s="930" t="s">
        <v>507</v>
      </c>
      <c r="B3" s="930"/>
      <c r="C3" s="930"/>
      <c r="D3" s="930"/>
      <c r="E3" s="930"/>
      <c r="F3" s="930"/>
      <c r="G3" s="930"/>
      <c r="H3" s="930"/>
      <c r="I3" s="930"/>
      <c r="J3" s="930"/>
      <c r="K3" s="930"/>
      <c r="L3" s="930"/>
      <c r="M3" s="930"/>
      <c r="N3" s="930"/>
      <c r="O3" s="930"/>
      <c r="P3" s="930"/>
      <c r="Q3" s="930"/>
      <c r="R3" s="930"/>
      <c r="S3" s="930"/>
      <c r="T3" s="930"/>
      <c r="U3" s="930"/>
      <c r="V3" s="930"/>
      <c r="W3" s="930"/>
      <c r="X3" s="930"/>
      <c r="Y3" s="930"/>
      <c r="Z3" s="930"/>
      <c r="AA3" s="930"/>
      <c r="AB3" s="930"/>
      <c r="AC3" s="930"/>
      <c r="AD3" s="930"/>
      <c r="AE3" s="930"/>
      <c r="AF3" s="930"/>
    </row>
    <row r="4" spans="1:39" s="402" customFormat="1" ht="22.5" customHeight="1" x14ac:dyDescent="0.25">
      <c r="A4" s="1026" t="s">
        <v>0</v>
      </c>
      <c r="B4" s="1026" t="s">
        <v>272</v>
      </c>
      <c r="C4" s="1026" t="s">
        <v>493</v>
      </c>
      <c r="D4" s="1026" t="s">
        <v>494</v>
      </c>
      <c r="E4" s="1026" t="s">
        <v>21</v>
      </c>
      <c r="F4" s="1026" t="s">
        <v>1</v>
      </c>
      <c r="G4" s="1005" t="s">
        <v>495</v>
      </c>
      <c r="H4" s="1006"/>
      <c r="I4" s="996" t="s">
        <v>496</v>
      </c>
      <c r="J4" s="997"/>
      <c r="K4" s="996" t="s">
        <v>517</v>
      </c>
      <c r="L4" s="1002"/>
      <c r="M4" s="1002"/>
      <c r="N4" s="1002"/>
      <c r="O4" s="997"/>
      <c r="P4" s="1023" t="s">
        <v>189</v>
      </c>
      <c r="Q4" s="1024"/>
      <c r="R4" s="1024"/>
      <c r="S4" s="1024"/>
      <c r="T4" s="1024"/>
      <c r="U4" s="1024"/>
      <c r="V4" s="1024"/>
      <c r="W4" s="1025"/>
      <c r="X4" s="996" t="s">
        <v>463</v>
      </c>
      <c r="Y4" s="997"/>
      <c r="Z4" s="996" t="s">
        <v>464</v>
      </c>
      <c r="AA4" s="997"/>
      <c r="AB4" s="996" t="s">
        <v>465</v>
      </c>
      <c r="AC4" s="997"/>
      <c r="AD4" s="1017" t="s">
        <v>466</v>
      </c>
      <c r="AE4" s="1017"/>
      <c r="AF4" s="1018" t="s">
        <v>3</v>
      </c>
    </row>
    <row r="5" spans="1:39" s="402" customFormat="1" x14ac:dyDescent="0.25">
      <c r="A5" s="1027"/>
      <c r="B5" s="1027"/>
      <c r="C5" s="1027"/>
      <c r="D5" s="1027"/>
      <c r="E5" s="1027"/>
      <c r="F5" s="1027"/>
      <c r="G5" s="1007"/>
      <c r="H5" s="1008"/>
      <c r="I5" s="998"/>
      <c r="J5" s="999"/>
      <c r="K5" s="998"/>
      <c r="L5" s="1003"/>
      <c r="M5" s="1003"/>
      <c r="N5" s="1003"/>
      <c r="O5" s="999"/>
      <c r="P5" s="996" t="s">
        <v>4</v>
      </c>
      <c r="Q5" s="997"/>
      <c r="R5" s="996" t="s">
        <v>5</v>
      </c>
      <c r="S5" s="997"/>
      <c r="T5" s="996" t="s">
        <v>6</v>
      </c>
      <c r="U5" s="997"/>
      <c r="V5" s="1019" t="s">
        <v>7</v>
      </c>
      <c r="W5" s="1020"/>
      <c r="X5" s="998"/>
      <c r="Y5" s="999"/>
      <c r="Z5" s="998"/>
      <c r="AA5" s="999"/>
      <c r="AB5" s="998"/>
      <c r="AC5" s="999"/>
      <c r="AD5" s="1017"/>
      <c r="AE5" s="1017"/>
      <c r="AF5" s="1018"/>
    </row>
    <row r="6" spans="1:39" s="402" customFormat="1" ht="58.5" customHeight="1" x14ac:dyDescent="0.25">
      <c r="A6" s="1027"/>
      <c r="B6" s="1027"/>
      <c r="C6" s="1027"/>
      <c r="D6" s="1027"/>
      <c r="E6" s="1027"/>
      <c r="F6" s="1027"/>
      <c r="G6" s="1009"/>
      <c r="H6" s="1010"/>
      <c r="I6" s="1000"/>
      <c r="J6" s="1001"/>
      <c r="K6" s="1000"/>
      <c r="L6" s="1004"/>
      <c r="M6" s="1004"/>
      <c r="N6" s="1004"/>
      <c r="O6" s="1001"/>
      <c r="P6" s="1000"/>
      <c r="Q6" s="1001"/>
      <c r="R6" s="1000"/>
      <c r="S6" s="1001"/>
      <c r="T6" s="1000"/>
      <c r="U6" s="1001"/>
      <c r="V6" s="1021"/>
      <c r="W6" s="1022"/>
      <c r="X6" s="1000"/>
      <c r="Y6" s="1001"/>
      <c r="Z6" s="1000"/>
      <c r="AA6" s="1001"/>
      <c r="AB6" s="1000"/>
      <c r="AC6" s="1001"/>
      <c r="AD6" s="1017"/>
      <c r="AE6" s="1017"/>
      <c r="AF6" s="1018"/>
    </row>
    <row r="7" spans="1:39" s="402" customFormat="1" ht="39" customHeight="1" x14ac:dyDescent="0.25">
      <c r="A7" s="1028"/>
      <c r="B7" s="1028"/>
      <c r="C7" s="1028"/>
      <c r="D7" s="1028"/>
      <c r="E7" s="1028"/>
      <c r="F7" s="1028"/>
      <c r="G7" s="216" t="s">
        <v>8</v>
      </c>
      <c r="H7" s="11" t="s">
        <v>284</v>
      </c>
      <c r="I7" s="216" t="s">
        <v>8</v>
      </c>
      <c r="J7" s="11" t="s">
        <v>284</v>
      </c>
      <c r="K7" s="216" t="s">
        <v>8</v>
      </c>
      <c r="L7" s="30" t="s">
        <v>516</v>
      </c>
      <c r="M7" s="216" t="s">
        <v>8</v>
      </c>
      <c r="N7" s="30" t="s">
        <v>11</v>
      </c>
      <c r="O7" s="30" t="s">
        <v>440</v>
      </c>
      <c r="P7" s="216" t="s">
        <v>8</v>
      </c>
      <c r="Q7" s="11" t="s">
        <v>9</v>
      </c>
      <c r="R7" s="216" t="s">
        <v>8</v>
      </c>
      <c r="S7" s="11" t="s">
        <v>9</v>
      </c>
      <c r="T7" s="216" t="s">
        <v>8</v>
      </c>
      <c r="U7" s="11" t="s">
        <v>9</v>
      </c>
      <c r="V7" s="371" t="s">
        <v>8</v>
      </c>
      <c r="W7" s="12" t="s">
        <v>9</v>
      </c>
      <c r="X7" s="216" t="s">
        <v>8</v>
      </c>
      <c r="Y7" s="11" t="s">
        <v>9</v>
      </c>
      <c r="Z7" s="2" t="s">
        <v>8</v>
      </c>
      <c r="AA7" s="11" t="s">
        <v>9</v>
      </c>
      <c r="AB7" s="216" t="s">
        <v>8</v>
      </c>
      <c r="AC7" s="11" t="s">
        <v>9</v>
      </c>
      <c r="AD7" s="216" t="s">
        <v>8</v>
      </c>
      <c r="AE7" s="11" t="s">
        <v>9</v>
      </c>
      <c r="AF7" s="1018"/>
      <c r="AL7" s="447" t="e">
        <f>#REF!</f>
        <v>#REF!</v>
      </c>
    </row>
    <row r="8" spans="1:39" s="403" customFormat="1" x14ac:dyDescent="0.25">
      <c r="A8" s="465">
        <v>1</v>
      </c>
      <c r="B8" s="465">
        <v>2</v>
      </c>
      <c r="C8" s="820">
        <v>3</v>
      </c>
      <c r="D8" s="467">
        <v>4</v>
      </c>
      <c r="E8" s="467">
        <v>5</v>
      </c>
      <c r="F8" s="468"/>
      <c r="G8" s="1061">
        <v>6</v>
      </c>
      <c r="H8" s="1062"/>
      <c r="I8" s="1061">
        <v>7</v>
      </c>
      <c r="J8" s="1062"/>
      <c r="K8" s="1061">
        <v>8</v>
      </c>
      <c r="L8" s="1066"/>
      <c r="M8" s="1066"/>
      <c r="N8" s="1062"/>
      <c r="O8" s="876"/>
      <c r="P8" s="1061">
        <v>9</v>
      </c>
      <c r="Q8" s="1062"/>
      <c r="R8" s="1061">
        <v>10</v>
      </c>
      <c r="S8" s="1062"/>
      <c r="T8" s="1061">
        <v>11</v>
      </c>
      <c r="U8" s="1062"/>
      <c r="V8" s="1063">
        <v>12</v>
      </c>
      <c r="W8" s="1064"/>
      <c r="X8" s="1061" t="s">
        <v>514</v>
      </c>
      <c r="Y8" s="1062"/>
      <c r="Z8" s="1061" t="s">
        <v>19</v>
      </c>
      <c r="AA8" s="1062"/>
      <c r="AB8" s="1061" t="s">
        <v>515</v>
      </c>
      <c r="AC8" s="1062"/>
      <c r="AD8" s="1065" t="s">
        <v>20</v>
      </c>
      <c r="AE8" s="1065"/>
      <c r="AF8" s="469">
        <v>18</v>
      </c>
      <c r="AH8" s="403">
        <v>2017</v>
      </c>
      <c r="AI8" s="403">
        <v>2018</v>
      </c>
      <c r="AJ8" s="403">
        <v>2019</v>
      </c>
      <c r="AK8" s="403">
        <v>2020</v>
      </c>
    </row>
    <row r="9" spans="1:39" s="376" customFormat="1" ht="55.5" customHeight="1" x14ac:dyDescent="0.25">
      <c r="A9" s="553" t="s">
        <v>4</v>
      </c>
      <c r="B9" s="985" t="s">
        <v>521</v>
      </c>
      <c r="C9" s="821" t="s">
        <v>185</v>
      </c>
      <c r="D9" s="463" t="s">
        <v>34</v>
      </c>
      <c r="E9" s="554" t="s">
        <v>86</v>
      </c>
      <c r="F9" s="555" t="s">
        <v>93</v>
      </c>
      <c r="G9" s="556">
        <v>100</v>
      </c>
      <c r="H9" s="562">
        <f>H11+H13</f>
        <v>185000</v>
      </c>
      <c r="I9" s="889">
        <v>100</v>
      </c>
      <c r="J9" s="562">
        <f>'[4]TW IV FIX'!$AC$9</f>
        <v>83756.88</v>
      </c>
      <c r="K9" s="556">
        <v>100</v>
      </c>
      <c r="L9" s="562">
        <f>L10</f>
        <v>40000</v>
      </c>
      <c r="M9" s="557">
        <v>100</v>
      </c>
      <c r="N9" s="562">
        <f>N10</f>
        <v>36587.5</v>
      </c>
      <c r="O9" s="559">
        <f>O11+O13</f>
        <v>0</v>
      </c>
      <c r="P9" s="889">
        <v>25</v>
      </c>
      <c r="Q9" s="562">
        <f>+Q10</f>
        <v>3429.5</v>
      </c>
      <c r="R9" s="806"/>
      <c r="S9" s="873"/>
      <c r="T9" s="887"/>
      <c r="U9" s="873"/>
      <c r="V9" s="888"/>
      <c r="W9" s="873"/>
      <c r="X9" s="889">
        <f>P9+R9+T9+V9</f>
        <v>25</v>
      </c>
      <c r="Y9" s="562">
        <f>Q9+S9+U9+W9</f>
        <v>3429.5</v>
      </c>
      <c r="Z9" s="558">
        <f>X9/M9*100</f>
        <v>25</v>
      </c>
      <c r="AA9" s="559">
        <f>Y9/N9*100</f>
        <v>9.3734198838401088</v>
      </c>
      <c r="AB9" s="558">
        <v>100</v>
      </c>
      <c r="AC9" s="562">
        <f>J9+Y9</f>
        <v>87186.38</v>
      </c>
      <c r="AD9" s="563">
        <f>AB9/G9*100</f>
        <v>100</v>
      </c>
      <c r="AE9" s="564">
        <f>AC9/H9*100</f>
        <v>47.127772972972977</v>
      </c>
      <c r="AF9" s="553" t="s">
        <v>428</v>
      </c>
      <c r="AH9" s="443">
        <f ca="1">SUM(AH9:AH17)</f>
        <v>1175847</v>
      </c>
      <c r="AI9" s="443">
        <f ca="1">SUM(AI9:AI17)</f>
        <v>2093309</v>
      </c>
      <c r="AJ9" s="443">
        <f ca="1">SUM(AJ9:AJ17)</f>
        <v>1991868.5000000002</v>
      </c>
      <c r="AK9" s="443">
        <f ca="1">SUM(AK9:AK17)</f>
        <v>27601171.324000001</v>
      </c>
      <c r="AL9" s="443">
        <f ca="1">SUM(AH9:AK9)</f>
        <v>32862195.824000001</v>
      </c>
      <c r="AM9" s="603" t="e">
        <f ca="1">AL9-AL7</f>
        <v>#REF!</v>
      </c>
    </row>
    <row r="10" spans="1:39" ht="73.5" customHeight="1" x14ac:dyDescent="0.25">
      <c r="A10" s="903"/>
      <c r="B10" s="902" t="s">
        <v>518</v>
      </c>
      <c r="C10" s="900"/>
      <c r="D10" s="532" t="s">
        <v>35</v>
      </c>
      <c r="E10" s="512" t="s">
        <v>436</v>
      </c>
      <c r="F10" s="531" t="s">
        <v>439</v>
      </c>
      <c r="G10" s="686"/>
      <c r="H10" s="906"/>
      <c r="I10" s="685"/>
      <c r="J10" s="906"/>
      <c r="K10" s="540">
        <f>SUM(K11:K13)</f>
        <v>4</v>
      </c>
      <c r="L10" s="933">
        <f t="shared" ref="L10:Z10" si="0">SUM(L11:L13)</f>
        <v>40000</v>
      </c>
      <c r="M10" s="875">
        <f t="shared" si="0"/>
        <v>4</v>
      </c>
      <c r="N10" s="933">
        <f t="shared" si="0"/>
        <v>36587.5</v>
      </c>
      <c r="O10" s="862">
        <f t="shared" si="0"/>
        <v>0</v>
      </c>
      <c r="P10" s="540">
        <v>1</v>
      </c>
      <c r="Q10" s="933">
        <f>SUM(Q11:Q13)</f>
        <v>3429.5</v>
      </c>
      <c r="R10" s="540"/>
      <c r="S10" s="868"/>
      <c r="T10" s="540"/>
      <c r="U10" s="868"/>
      <c r="V10" s="868"/>
      <c r="W10" s="868"/>
      <c r="X10" s="540">
        <f t="shared" si="0"/>
        <v>1</v>
      </c>
      <c r="Y10" s="933">
        <f t="shared" si="0"/>
        <v>3429.5</v>
      </c>
      <c r="Z10" s="540">
        <f t="shared" si="0"/>
        <v>100</v>
      </c>
      <c r="AA10" s="927">
        <f>Y10/N10*100</f>
        <v>9.3734198838401088</v>
      </c>
      <c r="AB10" s="540"/>
      <c r="AC10" s="584"/>
      <c r="AD10" s="540"/>
      <c r="AE10" s="540"/>
      <c r="AF10" s="540"/>
      <c r="AK10" s="452">
        <f>+'RIIL TW IV PERBAIKAN'!J12+'RIIL TW IV PERBAIKAN'!J20+'RIIL TW IV PERBAIKAN'!J26+'RIIL TW IV PERBAIKAN'!J28+'RIIL TW IV PERBAIKAN'!J64+'RIIL TW IV PERBAIKAN'!Y12+'RIIL TW IV PERBAIKAN'!Y20+'RIIL TW IV PERBAIKAN'!Y26+'RIIL TW IV PERBAIKAN'!Y28+'RIIL TW IV PERBAIKAN'!Y64</f>
        <v>6475271.7800000003</v>
      </c>
      <c r="AL10" s="451">
        <v>6475271.7800000003</v>
      </c>
    </row>
    <row r="11" spans="1:39" ht="46.5" customHeight="1" x14ac:dyDescent="0.25">
      <c r="A11" s="46">
        <v>1</v>
      </c>
      <c r="B11" s="480" t="s">
        <v>519</v>
      </c>
      <c r="C11" s="485" t="s">
        <v>184</v>
      </c>
      <c r="D11" s="483" t="s">
        <v>36</v>
      </c>
      <c r="E11" s="18" t="s">
        <v>468</v>
      </c>
      <c r="F11" s="333" t="s">
        <v>95</v>
      </c>
      <c r="G11" s="604">
        <v>1</v>
      </c>
      <c r="H11" s="684">
        <f>15000+45000+50000+15000</f>
        <v>125000</v>
      </c>
      <c r="I11" s="604">
        <f>3+2+3</f>
        <v>8</v>
      </c>
      <c r="J11" s="684">
        <f>0+14999+9892.3+14114.14+10517.15</f>
        <v>49522.590000000004</v>
      </c>
      <c r="K11" s="459">
        <v>3</v>
      </c>
      <c r="L11" s="934">
        <v>25000</v>
      </c>
      <c r="M11" s="459">
        <v>1</v>
      </c>
      <c r="N11" s="594">
        <f>438.1+849+4000+3850</f>
        <v>9137.1</v>
      </c>
      <c r="O11" s="918"/>
      <c r="P11" s="459">
        <v>1</v>
      </c>
      <c r="Q11" s="946">
        <v>2431.5</v>
      </c>
      <c r="R11" s="753"/>
      <c r="S11" s="809"/>
      <c r="T11" s="459"/>
      <c r="U11" s="69"/>
      <c r="V11" s="459"/>
      <c r="W11" s="69"/>
      <c r="X11" s="459">
        <f t="shared" ref="X11:Y71" si="1">P11+R11+T11+V11</f>
        <v>1</v>
      </c>
      <c r="Y11" s="594">
        <f t="shared" si="1"/>
        <v>2431.5</v>
      </c>
      <c r="Z11" s="663">
        <f>X11/M11*100</f>
        <v>100</v>
      </c>
      <c r="AA11" s="57">
        <f>Y11/N11*100</f>
        <v>26.61128804544111</v>
      </c>
      <c r="AB11" s="922">
        <f>I11+X11</f>
        <v>9</v>
      </c>
      <c r="AC11" s="684">
        <f>Y11+J11</f>
        <v>51954.090000000004</v>
      </c>
      <c r="AD11" s="841">
        <f>AB11/G11*100</f>
        <v>900</v>
      </c>
      <c r="AE11" s="682">
        <f>AC11/H11*100</f>
        <v>41.563271999999998</v>
      </c>
      <c r="AF11" s="46"/>
    </row>
    <row r="12" spans="1:39" ht="46.5" customHeight="1" x14ac:dyDescent="0.25">
      <c r="A12" s="47"/>
      <c r="B12" s="481"/>
      <c r="C12" s="901"/>
      <c r="D12" s="474"/>
      <c r="E12" s="18" t="s">
        <v>469</v>
      </c>
      <c r="F12" s="333" t="s">
        <v>95</v>
      </c>
      <c r="G12" s="593"/>
      <c r="H12" s="595"/>
      <c r="I12" s="593"/>
      <c r="J12" s="595"/>
      <c r="K12" s="55"/>
      <c r="L12" s="935"/>
      <c r="M12" s="55">
        <v>2</v>
      </c>
      <c r="N12" s="589">
        <f>493.4+1107+4000+7700</f>
        <v>13300.4</v>
      </c>
      <c r="O12" s="918"/>
      <c r="P12" s="55">
        <v>0</v>
      </c>
      <c r="Q12" s="947"/>
      <c r="R12" s="733"/>
      <c r="S12" s="810"/>
      <c r="T12" s="55"/>
      <c r="U12" s="67"/>
      <c r="V12" s="55"/>
      <c r="W12" s="67"/>
      <c r="X12" s="55"/>
      <c r="Y12" s="589"/>
      <c r="Z12" s="926"/>
      <c r="AA12" s="493"/>
      <c r="AB12" s="923"/>
      <c r="AC12" s="595"/>
      <c r="AD12" s="597"/>
      <c r="AE12" s="598"/>
      <c r="AF12" s="47"/>
    </row>
    <row r="13" spans="1:39" ht="43.5" customHeight="1" x14ac:dyDescent="0.25">
      <c r="A13" s="47">
        <v>2</v>
      </c>
      <c r="B13" s="479" t="s">
        <v>520</v>
      </c>
      <c r="C13" s="826" t="s">
        <v>186</v>
      </c>
      <c r="D13" s="14" t="s">
        <v>37</v>
      </c>
      <c r="E13" s="4" t="s">
        <v>470</v>
      </c>
      <c r="F13" s="7" t="s">
        <v>95</v>
      </c>
      <c r="G13" s="593">
        <v>3</v>
      </c>
      <c r="H13" s="595">
        <v>60000</v>
      </c>
      <c r="I13" s="593">
        <v>1</v>
      </c>
      <c r="J13" s="595">
        <v>11649.34</v>
      </c>
      <c r="K13" s="55">
        <v>1</v>
      </c>
      <c r="L13" s="936">
        <v>15000</v>
      </c>
      <c r="M13" s="55">
        <v>1</v>
      </c>
      <c r="N13" s="589">
        <v>14150</v>
      </c>
      <c r="O13" s="23"/>
      <c r="P13" s="55">
        <v>0</v>
      </c>
      <c r="Q13" s="589">
        <v>998</v>
      </c>
      <c r="R13" s="733"/>
      <c r="S13" s="606"/>
      <c r="T13" s="55"/>
      <c r="U13" s="67"/>
      <c r="V13" s="55"/>
      <c r="W13" s="506"/>
      <c r="X13" s="55">
        <f t="shared" si="1"/>
        <v>0</v>
      </c>
      <c r="Y13" s="589">
        <f t="shared" si="1"/>
        <v>998</v>
      </c>
      <c r="Z13" s="590">
        <f>X13/M13*100</f>
        <v>0</v>
      </c>
      <c r="AA13" s="493">
        <f>Y13/N13*100</f>
        <v>7.053003533568905</v>
      </c>
      <c r="AB13" s="601">
        <f>I13+X13</f>
        <v>1</v>
      </c>
      <c r="AC13" s="595">
        <f>Y13+J13</f>
        <v>12647.34</v>
      </c>
      <c r="AD13" s="842">
        <f>AB13/G13*100</f>
        <v>33.333333333333329</v>
      </c>
      <c r="AE13" s="598">
        <f>AC13/H13*100</f>
        <v>21.078900000000001</v>
      </c>
      <c r="AF13" s="47"/>
    </row>
    <row r="14" spans="1:39" s="376" customFormat="1" ht="49.5" customHeight="1" x14ac:dyDescent="0.25">
      <c r="A14" s="553"/>
      <c r="B14" s="985" t="s">
        <v>521</v>
      </c>
      <c r="C14" s="821"/>
      <c r="D14" s="463" t="s">
        <v>34</v>
      </c>
      <c r="E14" s="554" t="s">
        <v>268</v>
      </c>
      <c r="F14" s="555" t="s">
        <v>93</v>
      </c>
      <c r="G14" s="556"/>
      <c r="H14" s="562"/>
      <c r="I14" s="565">
        <v>100</v>
      </c>
      <c r="J14" s="562">
        <f>'[4]TW IV FIX'!$AC$13</f>
        <v>3024869.0240000002</v>
      </c>
      <c r="K14" s="556">
        <v>100</v>
      </c>
      <c r="L14" s="562">
        <f>L15</f>
        <v>3458289.74</v>
      </c>
      <c r="M14" s="557">
        <v>100</v>
      </c>
      <c r="N14" s="562">
        <f>N15</f>
        <v>3193719.926</v>
      </c>
      <c r="O14" s="562">
        <f>O16</f>
        <v>0</v>
      </c>
      <c r="P14" s="556">
        <v>25</v>
      </c>
      <c r="Q14" s="562">
        <f>Q15</f>
        <v>532102.20499999996</v>
      </c>
      <c r="R14" s="569"/>
      <c r="S14" s="574"/>
      <c r="T14" s="569"/>
      <c r="U14" s="872"/>
      <c r="V14" s="890"/>
      <c r="W14" s="872"/>
      <c r="X14" s="556">
        <f>P14+R14+T14+V14</f>
        <v>25</v>
      </c>
      <c r="Y14" s="562">
        <f>Q14+S14+U14+W14</f>
        <v>532102.20499999996</v>
      </c>
      <c r="Z14" s="558">
        <f>X14/M14*100</f>
        <v>25</v>
      </c>
      <c r="AA14" s="559">
        <f>Y14/N14*100</f>
        <v>16.66089129069109</v>
      </c>
      <c r="AB14" s="558">
        <v>100</v>
      </c>
      <c r="AC14" s="562">
        <f>J14+Y14</f>
        <v>3556971.2290000003</v>
      </c>
      <c r="AD14" s="563">
        <v>100</v>
      </c>
      <c r="AE14" s="564">
        <v>90.77</v>
      </c>
      <c r="AF14" s="553"/>
      <c r="AH14" s="439"/>
      <c r="AI14" s="439">
        <v>22500</v>
      </c>
      <c r="AJ14" s="439">
        <v>54815</v>
      </c>
      <c r="AK14" s="439">
        <v>0</v>
      </c>
    </row>
    <row r="15" spans="1:39" ht="50.25" customHeight="1" x14ac:dyDescent="0.25">
      <c r="A15" s="510"/>
      <c r="B15" s="526" t="s">
        <v>522</v>
      </c>
      <c r="C15" s="823"/>
      <c r="D15" s="513" t="s">
        <v>38</v>
      </c>
      <c r="E15" s="512" t="s">
        <v>437</v>
      </c>
      <c r="F15" s="531" t="s">
        <v>444</v>
      </c>
      <c r="G15" s="516"/>
      <c r="H15" s="517"/>
      <c r="I15" s="516"/>
      <c r="J15" s="517"/>
      <c r="K15" s="518">
        <v>12</v>
      </c>
      <c r="L15" s="543">
        <f>L16</f>
        <v>3458289.74</v>
      </c>
      <c r="M15" s="538">
        <f>SUM(M16)</f>
        <v>12</v>
      </c>
      <c r="N15" s="937">
        <f>SUM(N16)</f>
        <v>3193719.926</v>
      </c>
      <c r="O15" s="863">
        <f>SUM(O16)</f>
        <v>0</v>
      </c>
      <c r="P15" s="538">
        <v>3</v>
      </c>
      <c r="Q15" s="937">
        <f>Q16</f>
        <v>532102.20499999996</v>
      </c>
      <c r="R15" s="538"/>
      <c r="S15" s="863"/>
      <c r="T15" s="538"/>
      <c r="U15" s="863"/>
      <c r="V15" s="860"/>
      <c r="W15" s="863"/>
      <c r="X15" s="538">
        <f>SUM(X16)</f>
        <v>3</v>
      </c>
      <c r="Y15" s="937">
        <f>SUM(Y16)</f>
        <v>532102.20499999996</v>
      </c>
      <c r="Z15" s="538">
        <f>SUM(Z16)</f>
        <v>25</v>
      </c>
      <c r="AA15" s="865">
        <f t="shared" ref="AA15:AA48" si="2">Y15/N15*100</f>
        <v>16.66089129069109</v>
      </c>
      <c r="AB15" s="864"/>
      <c r="AC15" s="519"/>
      <c r="AD15" s="525"/>
      <c r="AE15" s="522"/>
      <c r="AF15" s="510"/>
    </row>
    <row r="16" spans="1:39" ht="36" customHeight="1" x14ac:dyDescent="0.25">
      <c r="A16" s="7">
        <v>3</v>
      </c>
      <c r="B16" s="384" t="s">
        <v>523</v>
      </c>
      <c r="C16" s="382"/>
      <c r="D16" s="6" t="s">
        <v>39</v>
      </c>
      <c r="E16" s="4" t="s">
        <v>89</v>
      </c>
      <c r="F16" s="7" t="s">
        <v>94</v>
      </c>
      <c r="G16" s="372"/>
      <c r="H16" s="422"/>
      <c r="I16" s="372"/>
      <c r="J16" s="422"/>
      <c r="K16" s="19">
        <v>12</v>
      </c>
      <c r="L16" s="68">
        <v>3458289.74</v>
      </c>
      <c r="M16" s="19">
        <v>12</v>
      </c>
      <c r="N16" s="68">
        <v>3193719.926</v>
      </c>
      <c r="O16" s="68"/>
      <c r="P16" s="19">
        <v>3</v>
      </c>
      <c r="Q16" s="68">
        <v>532102.20499999996</v>
      </c>
      <c r="R16" s="805"/>
      <c r="S16" s="808"/>
      <c r="T16" s="805"/>
      <c r="U16" s="808"/>
      <c r="V16" s="19"/>
      <c r="W16" s="68"/>
      <c r="X16" s="19">
        <f t="shared" si="1"/>
        <v>3</v>
      </c>
      <c r="Y16" s="68">
        <f t="shared" si="1"/>
        <v>532102.20499999996</v>
      </c>
      <c r="Z16" s="410">
        <f>X16/M16*100</f>
        <v>25</v>
      </c>
      <c r="AA16" s="29">
        <f t="shared" si="2"/>
        <v>16.66089129069109</v>
      </c>
      <c r="AB16" s="975"/>
      <c r="AC16" s="431">
        <f>Y16+J16</f>
        <v>532102.20499999996</v>
      </c>
      <c r="AD16" s="433" t="e">
        <f>AB16/G16*100</f>
        <v>#DIV/0!</v>
      </c>
      <c r="AE16" s="420" t="e">
        <f>AC16/H16*100</f>
        <v>#DIV/0!</v>
      </c>
      <c r="AF16" s="7"/>
    </row>
    <row r="17" spans="1:38" s="376" customFormat="1" ht="50.25" hidden="1" customHeight="1" x14ac:dyDescent="0.25">
      <c r="A17" s="553"/>
      <c r="B17" s="566"/>
      <c r="C17" s="824" t="s">
        <v>181</v>
      </c>
      <c r="D17" s="463" t="s">
        <v>34</v>
      </c>
      <c r="E17" s="554" t="s">
        <v>420</v>
      </c>
      <c r="F17" s="555" t="s">
        <v>93</v>
      </c>
      <c r="G17" s="556">
        <v>100</v>
      </c>
      <c r="H17" s="562">
        <f>H19+H21</f>
        <v>486500</v>
      </c>
      <c r="I17" s="558">
        <f>'[4]TW IV FIX'!$AB$16</f>
        <v>92.583333333333329</v>
      </c>
      <c r="J17" s="562">
        <f>'[4]TW IV FIX'!$AC$16</f>
        <v>149815</v>
      </c>
      <c r="K17" s="556">
        <f>K18</f>
        <v>78</v>
      </c>
      <c r="L17" s="562">
        <f>L18</f>
        <v>0</v>
      </c>
      <c r="M17" s="557">
        <f>M18</f>
        <v>0</v>
      </c>
      <c r="N17" s="562">
        <f>N18</f>
        <v>0</v>
      </c>
      <c r="O17" s="557">
        <f>O19+O21</f>
        <v>0</v>
      </c>
      <c r="P17" s="556">
        <v>0</v>
      </c>
      <c r="Q17" s="562">
        <v>0</v>
      </c>
      <c r="R17" s="569"/>
      <c r="S17" s="568"/>
      <c r="T17" s="891"/>
      <c r="U17" s="568"/>
      <c r="V17" s="568"/>
      <c r="W17" s="568"/>
      <c r="X17" s="889">
        <f>P17+R17+T17+V17</f>
        <v>0</v>
      </c>
      <c r="Y17" s="562">
        <f>Q17+S17+U17+W17</f>
        <v>0</v>
      </c>
      <c r="Z17" s="558" t="e">
        <f>X17/M17*100</f>
        <v>#DIV/0!</v>
      </c>
      <c r="AA17" s="559" t="e">
        <f t="shared" si="2"/>
        <v>#DIV/0!</v>
      </c>
      <c r="AB17" s="558">
        <f>I17+X17</f>
        <v>92.583333333333329</v>
      </c>
      <c r="AC17" s="562">
        <f>J17+Y17</f>
        <v>149815</v>
      </c>
      <c r="AD17" s="563">
        <f>AB17/G17*100</f>
        <v>92.583333333333329</v>
      </c>
      <c r="AE17" s="564">
        <f>AC17/H17*100</f>
        <v>30.794450154162384</v>
      </c>
      <c r="AF17" s="553"/>
      <c r="AH17" s="442"/>
      <c r="AI17" s="442">
        <v>14999</v>
      </c>
      <c r="AJ17" s="442">
        <v>9892.2999999999993</v>
      </c>
      <c r="AK17" s="442">
        <v>36280.629999999997</v>
      </c>
      <c r="AL17" s="443"/>
    </row>
    <row r="18" spans="1:38" ht="72.75" hidden="1" customHeight="1" x14ac:dyDescent="0.25">
      <c r="A18" s="510"/>
      <c r="B18" s="528"/>
      <c r="C18" s="547"/>
      <c r="D18" s="513" t="s">
        <v>40</v>
      </c>
      <c r="E18" s="512" t="s">
        <v>451</v>
      </c>
      <c r="F18" s="531" t="s">
        <v>441</v>
      </c>
      <c r="G18" s="516"/>
      <c r="H18" s="517"/>
      <c r="I18" s="516"/>
      <c r="J18" s="517"/>
      <c r="K18" s="538">
        <f>SUM(K19:K21)</f>
        <v>78</v>
      </c>
      <c r="L18" s="937">
        <f>SUM(L19:L21)</f>
        <v>0</v>
      </c>
      <c r="M18" s="860">
        <v>0</v>
      </c>
      <c r="N18" s="937">
        <f>SUM(N19:N21)</f>
        <v>0</v>
      </c>
      <c r="O18" s="860">
        <f>SUM(O19:O21)</f>
        <v>0</v>
      </c>
      <c r="P18" s="538">
        <v>0</v>
      </c>
      <c r="Q18" s="543">
        <v>0</v>
      </c>
      <c r="R18" s="538"/>
      <c r="S18" s="886"/>
      <c r="T18" s="538"/>
      <c r="U18" s="886"/>
      <c r="V18" s="886"/>
      <c r="W18" s="860"/>
      <c r="X18" s="538">
        <f>SUM(X19:X21)</f>
        <v>0</v>
      </c>
      <c r="Y18" s="937">
        <f>SUM(Y19:Y21)</f>
        <v>0</v>
      </c>
      <c r="Z18" s="538" t="e">
        <f>SUM(Z19:Z21)</f>
        <v>#DIV/0!</v>
      </c>
      <c r="AA18" s="559" t="e">
        <f t="shared" si="2"/>
        <v>#DIV/0!</v>
      </c>
      <c r="AB18" s="558">
        <f>I18+X18</f>
        <v>0</v>
      </c>
      <c r="AC18" s="519"/>
      <c r="AD18" s="525"/>
      <c r="AE18" s="522"/>
      <c r="AF18" s="510"/>
    </row>
    <row r="19" spans="1:38" ht="44.25" hidden="1" customHeight="1" x14ac:dyDescent="0.25">
      <c r="A19" s="46"/>
      <c r="B19" s="386"/>
      <c r="C19" s="381" t="s">
        <v>180</v>
      </c>
      <c r="D19" s="13" t="s">
        <v>41</v>
      </c>
      <c r="E19" s="472" t="s">
        <v>90</v>
      </c>
      <c r="F19" s="46" t="s">
        <v>195</v>
      </c>
      <c r="G19" s="604">
        <v>235</v>
      </c>
      <c r="H19" s="684">
        <v>221500</v>
      </c>
      <c r="I19" s="604">
        <f>0+50+95+0</f>
        <v>145</v>
      </c>
      <c r="J19" s="684">
        <f>0+22500+54815+0</f>
        <v>77315</v>
      </c>
      <c r="K19" s="459">
        <v>70</v>
      </c>
      <c r="L19" s="594">
        <v>0</v>
      </c>
      <c r="M19" s="459">
        <v>0</v>
      </c>
      <c r="N19" s="594">
        <v>0</v>
      </c>
      <c r="O19" s="69"/>
      <c r="P19" s="459">
        <v>0</v>
      </c>
      <c r="Q19" s="594">
        <v>0</v>
      </c>
      <c r="R19" s="753"/>
      <c r="S19" s="754"/>
      <c r="T19" s="459"/>
      <c r="U19" s="69"/>
      <c r="V19" s="459"/>
      <c r="W19" s="69"/>
      <c r="X19" s="459">
        <f t="shared" si="1"/>
        <v>0</v>
      </c>
      <c r="Y19" s="594">
        <f t="shared" si="1"/>
        <v>0</v>
      </c>
      <c r="Z19" s="596" t="e">
        <f>X19/M19*100</f>
        <v>#DIV/0!</v>
      </c>
      <c r="AA19" s="559" t="e">
        <f t="shared" si="2"/>
        <v>#DIV/0!</v>
      </c>
      <c r="AB19" s="558">
        <f>I19+X19</f>
        <v>145</v>
      </c>
      <c r="AC19" s="684">
        <f>Y19+J19</f>
        <v>77315</v>
      </c>
      <c r="AD19" s="840">
        <f>AB19/G19*100</f>
        <v>61.702127659574465</v>
      </c>
      <c r="AE19" s="682">
        <f>AC19/H19*100</f>
        <v>34.905191873589168</v>
      </c>
      <c r="AF19" s="46"/>
    </row>
    <row r="20" spans="1:38" ht="45.75" hidden="1" customHeight="1" x14ac:dyDescent="0.25">
      <c r="A20" s="46"/>
      <c r="B20" s="694"/>
      <c r="C20" s="470" t="s">
        <v>183</v>
      </c>
      <c r="D20" s="691"/>
      <c r="E20" s="472"/>
      <c r="F20" s="46"/>
      <c r="G20" s="650"/>
      <c r="H20" s="684"/>
      <c r="I20" s="604"/>
      <c r="J20" s="684"/>
      <c r="K20" s="459"/>
      <c r="L20" s="594"/>
      <c r="M20" s="459"/>
      <c r="N20" s="594"/>
      <c r="O20" s="57"/>
      <c r="P20" s="459"/>
      <c r="Q20" s="594"/>
      <c r="R20" s="753"/>
      <c r="S20" s="754"/>
      <c r="T20" s="504"/>
      <c r="U20" s="69"/>
      <c r="V20" s="459"/>
      <c r="W20" s="69"/>
      <c r="X20" s="459"/>
      <c r="Y20" s="594"/>
      <c r="Z20" s="596"/>
      <c r="AA20" s="559" t="e">
        <f t="shared" si="2"/>
        <v>#DIV/0!</v>
      </c>
      <c r="AB20" s="558">
        <f>I20+X20</f>
        <v>0</v>
      </c>
      <c r="AC20" s="684"/>
      <c r="AD20" s="841"/>
      <c r="AE20" s="682"/>
      <c r="AF20" s="46"/>
    </row>
    <row r="21" spans="1:38" ht="43.5" hidden="1" customHeight="1" x14ac:dyDescent="0.25">
      <c r="A21" s="47"/>
      <c r="B21" s="688"/>
      <c r="C21" s="381" t="s">
        <v>182</v>
      </c>
      <c r="D21" s="14" t="s">
        <v>42</v>
      </c>
      <c r="E21" s="473" t="s">
        <v>91</v>
      </c>
      <c r="F21" s="47" t="s">
        <v>112</v>
      </c>
      <c r="G21" s="680">
        <v>96</v>
      </c>
      <c r="H21" s="595">
        <v>265000</v>
      </c>
      <c r="I21" s="593">
        <f>0+5+9+0</f>
        <v>14</v>
      </c>
      <c r="J21" s="595">
        <f>0+22500+25000+0</f>
        <v>47500</v>
      </c>
      <c r="K21" s="55">
        <v>8</v>
      </c>
      <c r="L21" s="589">
        <v>0</v>
      </c>
      <c r="M21" s="55">
        <v>0</v>
      </c>
      <c r="N21" s="589">
        <v>0</v>
      </c>
      <c r="O21" s="67"/>
      <c r="P21" s="55">
        <v>0</v>
      </c>
      <c r="Q21" s="589">
        <v>0</v>
      </c>
      <c r="R21" s="733"/>
      <c r="S21" s="606"/>
      <c r="T21" s="505"/>
      <c r="U21" s="67"/>
      <c r="V21" s="55"/>
      <c r="W21" s="67"/>
      <c r="X21" s="55">
        <f t="shared" si="1"/>
        <v>0</v>
      </c>
      <c r="Y21" s="589">
        <f t="shared" si="1"/>
        <v>0</v>
      </c>
      <c r="Z21" s="590" t="e">
        <f>X21/M21*100</f>
        <v>#DIV/0!</v>
      </c>
      <c r="AA21" s="559" t="e">
        <f t="shared" si="2"/>
        <v>#DIV/0!</v>
      </c>
      <c r="AB21" s="558">
        <f>I21+X21</f>
        <v>14</v>
      </c>
      <c r="AC21" s="595">
        <f>Y21+J21</f>
        <v>47500</v>
      </c>
      <c r="AD21" s="597">
        <f>AB21/G21*100</f>
        <v>14.583333333333334</v>
      </c>
      <c r="AE21" s="598">
        <f>AC21/H21*100</f>
        <v>17.924528301886792</v>
      </c>
      <c r="AF21" s="47"/>
    </row>
    <row r="22" spans="1:38" s="404" customFormat="1" ht="53.25" customHeight="1" x14ac:dyDescent="0.25">
      <c r="A22" s="632"/>
      <c r="B22" s="985" t="s">
        <v>521</v>
      </c>
      <c r="C22" s="824" t="s">
        <v>171</v>
      </c>
      <c r="D22" s="632" t="s">
        <v>34</v>
      </c>
      <c r="E22" s="633" t="s">
        <v>254</v>
      </c>
      <c r="F22" s="634" t="s">
        <v>93</v>
      </c>
      <c r="G22" s="635">
        <v>100</v>
      </c>
      <c r="H22" s="637">
        <f>H24+H25+H26+H27+H28+H30+H31</f>
        <v>7672000</v>
      </c>
      <c r="I22" s="911">
        <f>'[4]TW IV FIX'!$AB$21</f>
        <v>100</v>
      </c>
      <c r="J22" s="637">
        <f>'[4]TW IV FIX'!$AC$21</f>
        <v>6301918.3399999999</v>
      </c>
      <c r="K22" s="635">
        <v>100</v>
      </c>
      <c r="L22" s="938">
        <f>L23+L29</f>
        <v>1511956.7</v>
      </c>
      <c r="M22" s="635">
        <v>100</v>
      </c>
      <c r="N22" s="938">
        <f>N23+N29</f>
        <v>1278269.2</v>
      </c>
      <c r="O22" s="639">
        <f>O24+O26+O27+O28+O30+O31</f>
        <v>0</v>
      </c>
      <c r="P22" s="635">
        <v>25</v>
      </c>
      <c r="Q22" s="938">
        <f>Q23+Q29</f>
        <v>156291.361</v>
      </c>
      <c r="R22" s="814"/>
      <c r="S22" s="812"/>
      <c r="T22" s="814"/>
      <c r="U22" s="812"/>
      <c r="V22" s="885"/>
      <c r="W22" s="885"/>
      <c r="X22" s="635">
        <f>+P22+R22+T22+V22</f>
        <v>25</v>
      </c>
      <c r="Y22" s="637">
        <f>Q22+S22+U22+W22</f>
        <v>156291.361</v>
      </c>
      <c r="Z22" s="642">
        <v>75</v>
      </c>
      <c r="AA22" s="559">
        <f t="shared" si="2"/>
        <v>12.226795498162673</v>
      </c>
      <c r="AB22" s="558">
        <v>100</v>
      </c>
      <c r="AC22" s="761">
        <f>J22+Y22</f>
        <v>6458209.7009999994</v>
      </c>
      <c r="AD22" s="813">
        <f>AB22/G22*100</f>
        <v>100</v>
      </c>
      <c r="AE22" s="642">
        <f>AC22/H22*100</f>
        <v>84.178958563607921</v>
      </c>
      <c r="AF22" s="632"/>
      <c r="AH22" s="440">
        <v>271866</v>
      </c>
      <c r="AI22" s="440">
        <v>513410</v>
      </c>
      <c r="AJ22" s="440">
        <f>291044-5794</f>
        <v>285250</v>
      </c>
      <c r="AK22" s="440">
        <v>246285.989</v>
      </c>
    </row>
    <row r="23" spans="1:38" s="376" customFormat="1" ht="41.25" customHeight="1" x14ac:dyDescent="0.25">
      <c r="A23" s="531"/>
      <c r="B23" s="528" t="s">
        <v>524</v>
      </c>
      <c r="C23" s="547"/>
      <c r="D23" s="532" t="s">
        <v>43</v>
      </c>
      <c r="E23" s="905" t="s">
        <v>452</v>
      </c>
      <c r="F23" s="534" t="s">
        <v>444</v>
      </c>
      <c r="G23" s="685"/>
      <c r="H23" s="906"/>
      <c r="I23" s="685"/>
      <c r="J23" s="906"/>
      <c r="K23" s="540">
        <v>12</v>
      </c>
      <c r="L23" s="933">
        <f>SUM(L24:L28)</f>
        <v>896923.7</v>
      </c>
      <c r="M23" s="875">
        <v>12</v>
      </c>
      <c r="N23" s="933">
        <f>SUM(N24:N28)</f>
        <v>663236.19999999995</v>
      </c>
      <c r="O23" s="861">
        <f>SUM(O24:O28)</f>
        <v>0</v>
      </c>
      <c r="P23" s="542">
        <v>3</v>
      </c>
      <c r="Q23" s="933">
        <f>SUM(Q24:Q28)</f>
        <v>75132.5</v>
      </c>
      <c r="R23" s="542"/>
      <c r="S23" s="869"/>
      <c r="T23" s="542"/>
      <c r="U23" s="869"/>
      <c r="V23" s="875"/>
      <c r="W23" s="875"/>
      <c r="X23" s="542">
        <f>P23+R23+T23+V23</f>
        <v>3</v>
      </c>
      <c r="Y23" s="584">
        <f>SUM(Y24:Y28)</f>
        <v>75132.5</v>
      </c>
      <c r="Z23" s="539">
        <f t="shared" ref="Z23:Z32" si="3">X23/M23*100</f>
        <v>25</v>
      </c>
      <c r="AA23" s="865">
        <f t="shared" si="2"/>
        <v>11.328166345564371</v>
      </c>
      <c r="AB23" s="586"/>
      <c r="AC23" s="665"/>
      <c r="AD23" s="588"/>
      <c r="AE23" s="541"/>
      <c r="AF23" s="534"/>
    </row>
    <row r="24" spans="1:38" ht="52.5" customHeight="1" x14ac:dyDescent="0.25">
      <c r="A24" s="7">
        <v>4</v>
      </c>
      <c r="B24" s="384" t="s">
        <v>525</v>
      </c>
      <c r="C24" s="381" t="s">
        <v>173</v>
      </c>
      <c r="D24" s="6" t="s">
        <v>44</v>
      </c>
      <c r="E24" s="4" t="s">
        <v>471</v>
      </c>
      <c r="F24" s="334" t="s">
        <v>94</v>
      </c>
      <c r="G24" s="418">
        <v>60</v>
      </c>
      <c r="H24" s="431">
        <v>224000</v>
      </c>
      <c r="I24" s="418">
        <f>12+12+12+12</f>
        <v>48</v>
      </c>
      <c r="J24" s="431">
        <f>39219+39999+31995+21499.5</f>
        <v>132712.5</v>
      </c>
      <c r="K24" s="28">
        <v>12</v>
      </c>
      <c r="L24" s="959">
        <v>96922.7</v>
      </c>
      <c r="M24" s="48">
        <v>12</v>
      </c>
      <c r="N24" s="976">
        <v>96622.7</v>
      </c>
      <c r="O24" s="972"/>
      <c r="P24" s="19">
        <v>3</v>
      </c>
      <c r="Q24" s="68">
        <v>26100</v>
      </c>
      <c r="R24" s="805"/>
      <c r="S24" s="75"/>
      <c r="T24" s="19"/>
      <c r="U24" s="9"/>
      <c r="V24" s="19"/>
      <c r="W24" s="29"/>
      <c r="X24" s="19">
        <f t="shared" si="1"/>
        <v>3</v>
      </c>
      <c r="Y24" s="808">
        <f t="shared" si="1"/>
        <v>26100</v>
      </c>
      <c r="Z24" s="432">
        <f t="shared" si="3"/>
        <v>25</v>
      </c>
      <c r="AA24" s="971">
        <f t="shared" si="2"/>
        <v>27.012285932808748</v>
      </c>
      <c r="AB24" s="455">
        <f>I24+X24</f>
        <v>51</v>
      </c>
      <c r="AC24" s="431">
        <f>Y24+J24</f>
        <v>158812.5</v>
      </c>
      <c r="AD24" s="419">
        <f t="shared" ref="AD24:AE28" si="4">AB24/G24*100</f>
        <v>85</v>
      </c>
      <c r="AE24" s="420">
        <f t="shared" si="4"/>
        <v>70.8984375</v>
      </c>
      <c r="AF24" s="7"/>
    </row>
    <row r="25" spans="1:38" ht="40.5" hidden="1" customHeight="1" x14ac:dyDescent="0.25">
      <c r="A25" s="47"/>
      <c r="B25" s="384" t="s">
        <v>526</v>
      </c>
      <c r="C25" s="826" t="s">
        <v>44</v>
      </c>
      <c r="D25" s="14"/>
      <c r="E25" s="473"/>
      <c r="F25" s="958"/>
      <c r="G25" s="593">
        <v>60</v>
      </c>
      <c r="H25" s="595">
        <v>167500</v>
      </c>
      <c r="I25" s="593">
        <f>12+12+12+12</f>
        <v>48</v>
      </c>
      <c r="J25" s="595">
        <f>21595+24716+41560+43561.5</f>
        <v>131432.5</v>
      </c>
      <c r="K25" s="625"/>
      <c r="L25" s="947"/>
      <c r="M25" s="486"/>
      <c r="N25" s="974"/>
      <c r="O25" s="973"/>
      <c r="P25" s="55"/>
      <c r="Q25" s="589"/>
      <c r="R25" s="733"/>
      <c r="S25" s="606"/>
      <c r="T25" s="55"/>
      <c r="U25" s="67"/>
      <c r="V25" s="55"/>
      <c r="W25" s="67"/>
      <c r="X25" s="593">
        <f t="shared" si="1"/>
        <v>0</v>
      </c>
      <c r="Y25" s="595">
        <f t="shared" si="1"/>
        <v>0</v>
      </c>
      <c r="Z25" s="842" t="e">
        <f t="shared" si="3"/>
        <v>#DIV/0!</v>
      </c>
      <c r="AA25" s="654" t="e">
        <f t="shared" si="2"/>
        <v>#DIV/0!</v>
      </c>
      <c r="AB25" s="601">
        <f>I25+X25</f>
        <v>48</v>
      </c>
      <c r="AC25" s="595">
        <f>Y25+J25</f>
        <v>131432.5</v>
      </c>
      <c r="AD25" s="597">
        <f t="shared" si="4"/>
        <v>80</v>
      </c>
      <c r="AE25" s="598">
        <f t="shared" si="4"/>
        <v>78.467164179104472</v>
      </c>
      <c r="AF25" s="47"/>
    </row>
    <row r="26" spans="1:38" ht="65.25" customHeight="1" x14ac:dyDescent="0.25">
      <c r="A26" s="7">
        <v>5</v>
      </c>
      <c r="B26" s="384" t="s">
        <v>527</v>
      </c>
      <c r="C26" s="381" t="s">
        <v>174</v>
      </c>
      <c r="D26" s="14" t="s">
        <v>45</v>
      </c>
      <c r="E26" s="473" t="s">
        <v>472</v>
      </c>
      <c r="F26" s="47" t="s">
        <v>94</v>
      </c>
      <c r="G26" s="593">
        <v>60</v>
      </c>
      <c r="H26" s="595">
        <v>545000</v>
      </c>
      <c r="I26" s="593">
        <f>12+12+12+12</f>
        <v>48</v>
      </c>
      <c r="J26" s="595">
        <f>98426+84665+104792+161491.228</f>
        <v>449374.228</v>
      </c>
      <c r="K26" s="55">
        <v>12</v>
      </c>
      <c r="L26" s="589">
        <v>127501</v>
      </c>
      <c r="M26" s="55">
        <v>12</v>
      </c>
      <c r="N26" s="589">
        <v>121613.5</v>
      </c>
      <c r="O26" s="67"/>
      <c r="P26" s="55">
        <v>3</v>
      </c>
      <c r="Q26" s="589">
        <v>18362.5</v>
      </c>
      <c r="R26" s="733"/>
      <c r="S26" s="810"/>
      <c r="T26" s="55"/>
      <c r="U26" s="506"/>
      <c r="V26" s="55"/>
      <c r="W26" s="67"/>
      <c r="X26" s="55">
        <f t="shared" si="1"/>
        <v>3</v>
      </c>
      <c r="Y26" s="589">
        <f t="shared" si="1"/>
        <v>18362.5</v>
      </c>
      <c r="Z26" s="590">
        <f t="shared" si="3"/>
        <v>25</v>
      </c>
      <c r="AA26" s="29">
        <f t="shared" si="2"/>
        <v>15.099063837485147</v>
      </c>
      <c r="AB26" s="601">
        <f>I26+X26</f>
        <v>51</v>
      </c>
      <c r="AC26" s="595">
        <f>Y26+J26</f>
        <v>467736.728</v>
      </c>
      <c r="AD26" s="842">
        <f t="shared" si="4"/>
        <v>85</v>
      </c>
      <c r="AE26" s="598">
        <f t="shared" si="4"/>
        <v>85.823252844036702</v>
      </c>
      <c r="AF26" s="47"/>
    </row>
    <row r="27" spans="1:38" ht="50.25" customHeight="1" x14ac:dyDescent="0.25">
      <c r="A27" s="7">
        <v>6</v>
      </c>
      <c r="B27" s="384" t="s">
        <v>528</v>
      </c>
      <c r="C27" s="381" t="s">
        <v>190</v>
      </c>
      <c r="D27" s="6" t="s">
        <v>46</v>
      </c>
      <c r="E27" s="4" t="s">
        <v>473</v>
      </c>
      <c r="F27" s="7" t="s">
        <v>94</v>
      </c>
      <c r="G27" s="418">
        <v>60</v>
      </c>
      <c r="H27" s="431">
        <v>175500</v>
      </c>
      <c r="I27" s="418">
        <f>12+12+12+12</f>
        <v>48</v>
      </c>
      <c r="J27" s="431">
        <f>33000+29995+34978+45485.3</f>
        <v>143458.29999999999</v>
      </c>
      <c r="K27" s="19">
        <v>12</v>
      </c>
      <c r="L27" s="68">
        <v>35000</v>
      </c>
      <c r="M27" s="19">
        <v>12</v>
      </c>
      <c r="N27" s="68">
        <v>35000</v>
      </c>
      <c r="O27" s="9"/>
      <c r="P27" s="19">
        <v>3</v>
      </c>
      <c r="Q27" s="68">
        <v>7700</v>
      </c>
      <c r="R27" s="805"/>
      <c r="S27" s="284"/>
      <c r="T27" s="19"/>
      <c r="U27" s="9"/>
      <c r="V27" s="19"/>
      <c r="W27" s="9"/>
      <c r="X27" s="19">
        <f t="shared" si="1"/>
        <v>3</v>
      </c>
      <c r="Y27" s="808">
        <f t="shared" si="1"/>
        <v>7700</v>
      </c>
      <c r="Z27" s="410">
        <f t="shared" si="3"/>
        <v>25</v>
      </c>
      <c r="AA27" s="29">
        <f t="shared" si="2"/>
        <v>22</v>
      </c>
      <c r="AB27" s="455">
        <f>I27+X27</f>
        <v>51</v>
      </c>
      <c r="AC27" s="431">
        <f>Y27+J27</f>
        <v>151158.29999999999</v>
      </c>
      <c r="AD27" s="433">
        <f t="shared" si="4"/>
        <v>85</v>
      </c>
      <c r="AE27" s="420">
        <f t="shared" si="4"/>
        <v>86.130085470085461</v>
      </c>
      <c r="AF27" s="7"/>
    </row>
    <row r="28" spans="1:38" ht="45" customHeight="1" x14ac:dyDescent="0.25">
      <c r="A28" s="46">
        <v>7</v>
      </c>
      <c r="B28" s="384" t="s">
        <v>529</v>
      </c>
      <c r="C28" s="381" t="s">
        <v>191</v>
      </c>
      <c r="D28" s="6" t="s">
        <v>47</v>
      </c>
      <c r="E28" s="4" t="s">
        <v>474</v>
      </c>
      <c r="F28" s="7" t="s">
        <v>94</v>
      </c>
      <c r="G28" s="418">
        <v>60</v>
      </c>
      <c r="H28" s="431">
        <v>3655000</v>
      </c>
      <c r="I28" s="418">
        <f>12+12+12+12</f>
        <v>48</v>
      </c>
      <c r="J28" s="431">
        <f>274635+729772+699881+489525.481</f>
        <v>2193813.4810000001</v>
      </c>
      <c r="K28" s="19">
        <v>12</v>
      </c>
      <c r="L28" s="68">
        <v>637500</v>
      </c>
      <c r="M28" s="19">
        <v>12</v>
      </c>
      <c r="N28" s="68">
        <v>410000</v>
      </c>
      <c r="O28" s="9"/>
      <c r="P28" s="19">
        <v>3</v>
      </c>
      <c r="Q28" s="68">
        <v>22970</v>
      </c>
      <c r="R28" s="805"/>
      <c r="S28" s="284"/>
      <c r="T28" s="19"/>
      <c r="U28" s="9"/>
      <c r="V28" s="19"/>
      <c r="W28" s="29"/>
      <c r="X28" s="19">
        <f t="shared" si="1"/>
        <v>3</v>
      </c>
      <c r="Y28" s="808">
        <f t="shared" si="1"/>
        <v>22970</v>
      </c>
      <c r="Z28" s="410">
        <f t="shared" si="3"/>
        <v>25</v>
      </c>
      <c r="AA28" s="29">
        <f t="shared" si="2"/>
        <v>5.602439024390244</v>
      </c>
      <c r="AB28" s="455">
        <f>I28+X28</f>
        <v>51</v>
      </c>
      <c r="AC28" s="431">
        <f>Y28+J28</f>
        <v>2216783.4810000001</v>
      </c>
      <c r="AD28" s="433">
        <f t="shared" si="4"/>
        <v>85</v>
      </c>
      <c r="AE28" s="420">
        <f t="shared" si="4"/>
        <v>60.65071083447333</v>
      </c>
      <c r="AF28" s="7"/>
    </row>
    <row r="29" spans="1:38" s="376" customFormat="1" ht="56.25" customHeight="1" x14ac:dyDescent="0.25">
      <c r="A29" s="531"/>
      <c r="B29" s="984" t="s">
        <v>530</v>
      </c>
      <c r="C29" s="470" t="s">
        <v>171</v>
      </c>
      <c r="D29" s="513" t="s">
        <v>52</v>
      </c>
      <c r="E29" s="512" t="s">
        <v>453</v>
      </c>
      <c r="F29" s="531" t="s">
        <v>444</v>
      </c>
      <c r="G29" s="718"/>
      <c r="H29" s="720"/>
      <c r="I29" s="718"/>
      <c r="J29" s="720"/>
      <c r="K29" s="538">
        <v>12</v>
      </c>
      <c r="L29" s="543">
        <f>SUM(L30:L31)</f>
        <v>615033</v>
      </c>
      <c r="M29" s="524">
        <v>12</v>
      </c>
      <c r="N29" s="543">
        <f>SUM(N30:N31)</f>
        <v>615033</v>
      </c>
      <c r="O29" s="859">
        <f>SUM(O30:O31)</f>
        <v>0</v>
      </c>
      <c r="P29" s="524">
        <v>3</v>
      </c>
      <c r="Q29" s="543">
        <f>SUM(Q30:Q31)</f>
        <v>81158.861000000004</v>
      </c>
      <c r="R29" s="524"/>
      <c r="S29" s="543"/>
      <c r="T29" s="524"/>
      <c r="U29" s="543"/>
      <c r="V29" s="524"/>
      <c r="W29" s="543"/>
      <c r="X29" s="524">
        <f>P29+R29+T29+V29</f>
        <v>3</v>
      </c>
      <c r="Y29" s="543">
        <f>SUM(Y30:Y31)</f>
        <v>81158.861000000004</v>
      </c>
      <c r="Z29" s="539">
        <f t="shared" si="3"/>
        <v>25</v>
      </c>
      <c r="AA29" s="865">
        <f t="shared" si="2"/>
        <v>13.19585469397577</v>
      </c>
      <c r="AB29" s="523"/>
      <c r="AC29" s="519"/>
      <c r="AD29" s="546"/>
      <c r="AE29" s="524"/>
      <c r="AF29" s="531"/>
    </row>
    <row r="30" spans="1:38" ht="51.75" customHeight="1" x14ac:dyDescent="0.25">
      <c r="A30" s="47">
        <v>8</v>
      </c>
      <c r="B30" s="688" t="s">
        <v>531</v>
      </c>
      <c r="C30" s="825" t="s">
        <v>53</v>
      </c>
      <c r="D30" s="6" t="s">
        <v>53</v>
      </c>
      <c r="E30" s="4" t="s">
        <v>475</v>
      </c>
      <c r="F30" s="7" t="s">
        <v>94</v>
      </c>
      <c r="G30" s="418">
        <v>60</v>
      </c>
      <c r="H30" s="431">
        <v>705000</v>
      </c>
      <c r="I30" s="418">
        <v>48</v>
      </c>
      <c r="J30" s="431">
        <f>71532+96034+85915+87424.982</f>
        <v>340905.98200000002</v>
      </c>
      <c r="K30" s="19">
        <v>12</v>
      </c>
      <c r="L30" s="68">
        <v>150393</v>
      </c>
      <c r="M30" s="19">
        <v>12</v>
      </c>
      <c r="N30" s="68">
        <v>150393</v>
      </c>
      <c r="O30" s="9"/>
      <c r="P30" s="19">
        <v>3</v>
      </c>
      <c r="Q30" s="68">
        <v>23509.382000000001</v>
      </c>
      <c r="R30" s="805"/>
      <c r="S30" s="808"/>
      <c r="T30" s="19"/>
      <c r="U30" s="68"/>
      <c r="V30" s="19"/>
      <c r="W30" s="68"/>
      <c r="X30" s="19">
        <f t="shared" ref="X30:Y32" si="5">P30+R30+T30+V30</f>
        <v>3</v>
      </c>
      <c r="Y30" s="68">
        <f t="shared" si="5"/>
        <v>23509.382000000001</v>
      </c>
      <c r="Z30" s="410">
        <f t="shared" si="3"/>
        <v>25</v>
      </c>
      <c r="AA30" s="29">
        <f t="shared" si="2"/>
        <v>15.631965583504554</v>
      </c>
      <c r="AB30" s="455">
        <f>I30+X30</f>
        <v>51</v>
      </c>
      <c r="AC30" s="431">
        <f>Y30+J30</f>
        <v>364415.364</v>
      </c>
      <c r="AD30" s="433">
        <f t="shared" ref="AD30:AE32" si="6">AB30/G30*100</f>
        <v>85</v>
      </c>
      <c r="AE30" s="420">
        <f t="shared" si="6"/>
        <v>51.690122553191486</v>
      </c>
      <c r="AF30" s="7"/>
    </row>
    <row r="31" spans="1:38" ht="47.25" customHeight="1" x14ac:dyDescent="0.25">
      <c r="A31" s="47">
        <v>9</v>
      </c>
      <c r="B31" s="688" t="s">
        <v>532</v>
      </c>
      <c r="C31" s="381" t="s">
        <v>172</v>
      </c>
      <c r="D31" s="6" t="s">
        <v>54</v>
      </c>
      <c r="E31" s="4" t="s">
        <v>105</v>
      </c>
      <c r="F31" s="7" t="s">
        <v>94</v>
      </c>
      <c r="G31" s="418">
        <v>60</v>
      </c>
      <c r="H31" s="431">
        <v>2200000</v>
      </c>
      <c r="I31" s="418">
        <v>48</v>
      </c>
      <c r="J31" s="431">
        <f>365575+387224+413776+423407.074</f>
        <v>1589982.074</v>
      </c>
      <c r="K31" s="19">
        <v>12</v>
      </c>
      <c r="L31" s="68">
        <v>464640</v>
      </c>
      <c r="M31" s="19">
        <v>12</v>
      </c>
      <c r="N31" s="68">
        <v>464640</v>
      </c>
      <c r="O31" s="23"/>
      <c r="P31" s="19">
        <v>3</v>
      </c>
      <c r="Q31" s="68">
        <v>57649.478999999999</v>
      </c>
      <c r="R31" s="805"/>
      <c r="S31" s="808"/>
      <c r="T31" s="19"/>
      <c r="U31" s="68"/>
      <c r="V31" s="19"/>
      <c r="W31" s="68"/>
      <c r="X31" s="19">
        <f t="shared" si="5"/>
        <v>3</v>
      </c>
      <c r="Y31" s="808">
        <f t="shared" si="5"/>
        <v>57649.478999999999</v>
      </c>
      <c r="Z31" s="410">
        <f t="shared" si="3"/>
        <v>25</v>
      </c>
      <c r="AA31" s="29">
        <f t="shared" si="2"/>
        <v>12.407343104338842</v>
      </c>
      <c r="AB31" s="455">
        <f>I31+X31</f>
        <v>51</v>
      </c>
      <c r="AC31" s="431">
        <f>Y31+J31</f>
        <v>1647631.5530000001</v>
      </c>
      <c r="AD31" s="433">
        <f t="shared" si="6"/>
        <v>85</v>
      </c>
      <c r="AE31" s="420">
        <f t="shared" si="6"/>
        <v>74.892343318181815</v>
      </c>
      <c r="AF31" s="7"/>
    </row>
    <row r="32" spans="1:38" s="376" customFormat="1" ht="53.25" customHeight="1" x14ac:dyDescent="0.25">
      <c r="A32" s="553"/>
      <c r="B32" s="986">
        <v>4.5844907407407404E-2</v>
      </c>
      <c r="C32" s="824" t="s">
        <v>175</v>
      </c>
      <c r="D32" s="463" t="s">
        <v>34</v>
      </c>
      <c r="E32" s="554" t="s">
        <v>255</v>
      </c>
      <c r="F32" s="555" t="s">
        <v>93</v>
      </c>
      <c r="G32" s="556">
        <v>100</v>
      </c>
      <c r="H32" s="562">
        <f>H34+H35+H36+H38+H39+H40</f>
        <v>3570750</v>
      </c>
      <c r="I32" s="910">
        <v>100</v>
      </c>
      <c r="J32" s="562">
        <f>'[4]TW IV FIX'!$AC$31</f>
        <v>2407742.9380000001</v>
      </c>
      <c r="K32" s="907">
        <f>K33+K37</f>
        <v>272</v>
      </c>
      <c r="L32" s="562">
        <f>L33+L37</f>
        <v>448606.22</v>
      </c>
      <c r="M32" s="557">
        <v>100</v>
      </c>
      <c r="N32" s="562">
        <f>N33+N37</f>
        <v>349133</v>
      </c>
      <c r="O32" s="559">
        <f>O34+O35+O36+O38+O39+O40</f>
        <v>0</v>
      </c>
      <c r="P32" s="557">
        <v>25</v>
      </c>
      <c r="Q32" s="562">
        <f>Q37</f>
        <v>37742.5</v>
      </c>
      <c r="R32" s="806"/>
      <c r="S32" s="568"/>
      <c r="T32" s="806"/>
      <c r="U32" s="568"/>
      <c r="V32" s="568"/>
      <c r="W32" s="568"/>
      <c r="X32" s="556">
        <f t="shared" si="5"/>
        <v>25</v>
      </c>
      <c r="Y32" s="562">
        <f t="shared" si="5"/>
        <v>37742.5</v>
      </c>
      <c r="Z32" s="558">
        <f t="shared" si="3"/>
        <v>25</v>
      </c>
      <c r="AA32" s="559">
        <f t="shared" si="2"/>
        <v>10.81035021037828</v>
      </c>
      <c r="AB32" s="558">
        <v>100</v>
      </c>
      <c r="AC32" s="562">
        <f>J32+Y32</f>
        <v>2445485.4380000001</v>
      </c>
      <c r="AD32" s="573">
        <f t="shared" si="6"/>
        <v>100</v>
      </c>
      <c r="AE32" s="564">
        <f t="shared" si="6"/>
        <v>68.486604718896587</v>
      </c>
      <c r="AF32" s="555"/>
      <c r="AH32" s="441"/>
      <c r="AI32" s="442">
        <v>22500</v>
      </c>
      <c r="AJ32" s="442">
        <v>25000</v>
      </c>
      <c r="AK32" s="441">
        <v>0</v>
      </c>
    </row>
    <row r="33" spans="1:41" s="376" customFormat="1" ht="45.75" hidden="1" customHeight="1" x14ac:dyDescent="0.25">
      <c r="A33" s="531"/>
      <c r="B33" s="528"/>
      <c r="C33" s="547"/>
      <c r="D33" s="513" t="s">
        <v>48</v>
      </c>
      <c r="E33" s="512" t="s">
        <v>454</v>
      </c>
      <c r="F33" s="531" t="s">
        <v>443</v>
      </c>
      <c r="G33" s="535"/>
      <c r="H33" s="537"/>
      <c r="I33" s="535"/>
      <c r="J33" s="537"/>
      <c r="K33" s="538">
        <f>SUM(K34:K36)</f>
        <v>47</v>
      </c>
      <c r="L33" s="543">
        <f>SUM(L34:L36)</f>
        <v>0</v>
      </c>
      <c r="M33" s="524">
        <f>SUM(M34:M36)</f>
        <v>0</v>
      </c>
      <c r="N33" s="543">
        <f>SUM(N34:N36)</f>
        <v>0</v>
      </c>
      <c r="O33" s="524">
        <f>SUM(O34:O36)</f>
        <v>0</v>
      </c>
      <c r="P33" s="524"/>
      <c r="Q33" s="543"/>
      <c r="R33" s="524"/>
      <c r="S33" s="543"/>
      <c r="T33" s="524"/>
      <c r="U33" s="543"/>
      <c r="V33" s="543"/>
      <c r="W33" s="543"/>
      <c r="X33" s="524">
        <f>SUM(X34:X36)</f>
        <v>0</v>
      </c>
      <c r="Y33" s="543">
        <f>SUM(Y34:Y36)</f>
        <v>0</v>
      </c>
      <c r="Z33" s="539" t="e">
        <f>SUM(Z34:Z36)</f>
        <v>#DIV/0!</v>
      </c>
      <c r="AA33" s="559" t="e">
        <f t="shared" si="2"/>
        <v>#DIV/0!</v>
      </c>
      <c r="AB33" s="523"/>
      <c r="AC33" s="519"/>
      <c r="AD33" s="525"/>
      <c r="AE33" s="524"/>
      <c r="AF33" s="531"/>
    </row>
    <row r="34" spans="1:41" ht="39" hidden="1" customHeight="1" x14ac:dyDescent="0.25">
      <c r="A34" s="7"/>
      <c r="B34" s="384"/>
      <c r="C34" s="381" t="s">
        <v>256</v>
      </c>
      <c r="D34" s="6" t="s">
        <v>49</v>
      </c>
      <c r="E34" s="4" t="s">
        <v>100</v>
      </c>
      <c r="F34" s="15" t="s">
        <v>101</v>
      </c>
      <c r="G34" s="418">
        <v>48</v>
      </c>
      <c r="H34" s="431">
        <v>455000</v>
      </c>
      <c r="I34" s="418">
        <v>0</v>
      </c>
      <c r="J34" s="431">
        <v>0</v>
      </c>
      <c r="K34" s="19">
        <v>20</v>
      </c>
      <c r="L34" s="68">
        <v>0</v>
      </c>
      <c r="M34" s="19">
        <v>0</v>
      </c>
      <c r="N34" s="68">
        <v>0</v>
      </c>
      <c r="O34" s="9"/>
      <c r="P34" s="19"/>
      <c r="Q34" s="68"/>
      <c r="R34" s="805"/>
      <c r="S34" s="284"/>
      <c r="T34" s="19"/>
      <c r="U34" s="23"/>
      <c r="V34" s="19"/>
      <c r="W34" s="9"/>
      <c r="X34" s="19">
        <f t="shared" si="1"/>
        <v>0</v>
      </c>
      <c r="Y34" s="68">
        <f t="shared" si="1"/>
        <v>0</v>
      </c>
      <c r="Z34" s="410" t="e">
        <f>X34/M34*100</f>
        <v>#DIV/0!</v>
      </c>
      <c r="AA34" s="559" t="e">
        <f t="shared" si="2"/>
        <v>#DIV/0!</v>
      </c>
      <c r="AB34" s="455">
        <f t="shared" ref="AB34:AB40" si="7">I34+X34</f>
        <v>0</v>
      </c>
      <c r="AC34" s="431">
        <f>Y34+J34</f>
        <v>0</v>
      </c>
      <c r="AD34" s="433">
        <f t="shared" ref="AD34:AE36" si="8">AB34/G34*100</f>
        <v>0</v>
      </c>
      <c r="AE34" s="420">
        <f t="shared" si="8"/>
        <v>0</v>
      </c>
      <c r="AF34" s="7"/>
    </row>
    <row r="35" spans="1:41" ht="39.75" hidden="1" customHeight="1" x14ac:dyDescent="0.25">
      <c r="A35" s="7"/>
      <c r="B35" s="384"/>
      <c r="C35" s="381" t="s">
        <v>176</v>
      </c>
      <c r="D35" s="6" t="s">
        <v>50</v>
      </c>
      <c r="E35" s="4" t="s">
        <v>102</v>
      </c>
      <c r="F35" s="15" t="s">
        <v>101</v>
      </c>
      <c r="G35" s="418">
        <v>60</v>
      </c>
      <c r="H35" s="431">
        <v>865750</v>
      </c>
      <c r="I35" s="418">
        <v>18</v>
      </c>
      <c r="J35" s="431">
        <f>0+143875+0+0</f>
        <v>143875</v>
      </c>
      <c r="K35" s="19">
        <v>19</v>
      </c>
      <c r="L35" s="68">
        <v>0</v>
      </c>
      <c r="M35" s="19">
        <v>0</v>
      </c>
      <c r="N35" s="68">
        <v>0</v>
      </c>
      <c r="O35" s="9"/>
      <c r="P35" s="19"/>
      <c r="Q35" s="68"/>
      <c r="R35" s="805"/>
      <c r="S35" s="284"/>
      <c r="T35" s="19"/>
      <c r="U35" s="9"/>
      <c r="V35" s="19"/>
      <c r="W35" s="9"/>
      <c r="X35" s="19">
        <f t="shared" si="1"/>
        <v>0</v>
      </c>
      <c r="Y35" s="68">
        <f t="shared" si="1"/>
        <v>0</v>
      </c>
      <c r="Z35" s="410" t="e">
        <f>X35/M35*100</f>
        <v>#DIV/0!</v>
      </c>
      <c r="AA35" s="559" t="e">
        <f t="shared" si="2"/>
        <v>#DIV/0!</v>
      </c>
      <c r="AB35" s="455">
        <f t="shared" si="7"/>
        <v>18</v>
      </c>
      <c r="AC35" s="431">
        <f>Y35+J35</f>
        <v>143875</v>
      </c>
      <c r="AD35" s="433">
        <f t="shared" si="8"/>
        <v>30</v>
      </c>
      <c r="AE35" s="420">
        <f t="shared" si="8"/>
        <v>16.618538839156802</v>
      </c>
      <c r="AF35" s="7"/>
    </row>
    <row r="36" spans="1:41" ht="49.5" hidden="1" customHeight="1" x14ac:dyDescent="0.25">
      <c r="A36" s="7"/>
      <c r="B36" s="384"/>
      <c r="C36" s="381" t="s">
        <v>177</v>
      </c>
      <c r="D36" s="6" t="s">
        <v>51</v>
      </c>
      <c r="E36" s="4" t="s">
        <v>103</v>
      </c>
      <c r="F36" s="15" t="s">
        <v>101</v>
      </c>
      <c r="G36" s="418">
        <v>60</v>
      </c>
      <c r="H36" s="431">
        <v>397500</v>
      </c>
      <c r="I36" s="418">
        <f>15+9+0+0</f>
        <v>24</v>
      </c>
      <c r="J36" s="431">
        <f>98280+51400+0+0</f>
        <v>149680</v>
      </c>
      <c r="K36" s="19">
        <v>8</v>
      </c>
      <c r="L36" s="68">
        <v>0</v>
      </c>
      <c r="M36" s="19">
        <v>0</v>
      </c>
      <c r="N36" s="68">
        <v>0</v>
      </c>
      <c r="O36" s="9"/>
      <c r="P36" s="19"/>
      <c r="Q36" s="68"/>
      <c r="R36" s="805"/>
      <c r="S36" s="284"/>
      <c r="T36" s="19"/>
      <c r="U36" s="9"/>
      <c r="V36" s="19"/>
      <c r="W36" s="9"/>
      <c r="X36" s="19">
        <f t="shared" si="1"/>
        <v>0</v>
      </c>
      <c r="Y36" s="68">
        <f t="shared" si="1"/>
        <v>0</v>
      </c>
      <c r="Z36" s="410" t="e">
        <f>X36/M36*100</f>
        <v>#DIV/0!</v>
      </c>
      <c r="AA36" s="559" t="e">
        <f t="shared" si="2"/>
        <v>#DIV/0!</v>
      </c>
      <c r="AB36" s="455">
        <f t="shared" si="7"/>
        <v>24</v>
      </c>
      <c r="AC36" s="431">
        <f>Y36+J36</f>
        <v>149680</v>
      </c>
      <c r="AD36" s="433">
        <f t="shared" si="8"/>
        <v>40</v>
      </c>
      <c r="AE36" s="420">
        <f t="shared" si="8"/>
        <v>37.655345911949681</v>
      </c>
      <c r="AF36" s="7"/>
    </row>
    <row r="37" spans="1:41" s="376" customFormat="1" ht="52.5" customHeight="1" x14ac:dyDescent="0.25">
      <c r="A37" s="531"/>
      <c r="B37" s="528" t="s">
        <v>533</v>
      </c>
      <c r="C37" s="547"/>
      <c r="D37" s="513" t="s">
        <v>55</v>
      </c>
      <c r="E37" s="512" t="s">
        <v>455</v>
      </c>
      <c r="F37" s="531" t="s">
        <v>443</v>
      </c>
      <c r="G37" s="718"/>
      <c r="H37" s="720"/>
      <c r="I37" s="718"/>
      <c r="J37" s="720"/>
      <c r="K37" s="860">
        <f t="shared" ref="K37:Q37" si="9">SUM(K38:K40)</f>
        <v>225</v>
      </c>
      <c r="L37" s="937">
        <f t="shared" si="9"/>
        <v>448606.22</v>
      </c>
      <c r="M37" s="860">
        <f t="shared" si="9"/>
        <v>225</v>
      </c>
      <c r="N37" s="937">
        <f t="shared" si="9"/>
        <v>349133</v>
      </c>
      <c r="O37" s="862">
        <f t="shared" si="9"/>
        <v>0</v>
      </c>
      <c r="P37" s="860">
        <f t="shared" si="9"/>
        <v>72</v>
      </c>
      <c r="Q37" s="937">
        <f t="shared" si="9"/>
        <v>37742.5</v>
      </c>
      <c r="R37" s="860"/>
      <c r="S37" s="862"/>
      <c r="T37" s="860"/>
      <c r="U37" s="862"/>
      <c r="V37" s="862"/>
      <c r="W37" s="862"/>
      <c r="X37" s="860">
        <f>SUM(X38:X40)</f>
        <v>72</v>
      </c>
      <c r="Y37" s="937">
        <f>SUM(Y38:Y40)</f>
        <v>37742.5</v>
      </c>
      <c r="Z37" s="861">
        <f>SUM(Z38:Z40)</f>
        <v>93.735676088617254</v>
      </c>
      <c r="AA37" s="865">
        <f t="shared" si="2"/>
        <v>10.81035021037828</v>
      </c>
      <c r="AB37" s="878">
        <f t="shared" si="7"/>
        <v>72</v>
      </c>
      <c r="AC37" s="948"/>
      <c r="AD37" s="844"/>
      <c r="AE37" s="845"/>
      <c r="AF37" s="531"/>
    </row>
    <row r="38" spans="1:41" ht="76.5" customHeight="1" x14ac:dyDescent="0.25">
      <c r="A38" s="7">
        <v>10</v>
      </c>
      <c r="B38" s="384" t="s">
        <v>534</v>
      </c>
      <c r="C38" s="381" t="s">
        <v>179</v>
      </c>
      <c r="D38" s="6" t="s">
        <v>56</v>
      </c>
      <c r="E38" s="4" t="s">
        <v>476</v>
      </c>
      <c r="F38" s="15" t="s">
        <v>101</v>
      </c>
      <c r="G38" s="418">
        <v>60</v>
      </c>
      <c r="H38" s="431">
        <v>797500</v>
      </c>
      <c r="I38" s="418">
        <v>48</v>
      </c>
      <c r="J38" s="431">
        <f>173586+140975+196861+166202.989</f>
        <v>677624.98900000006</v>
      </c>
      <c r="K38" s="19">
        <v>22</v>
      </c>
      <c r="L38" s="68">
        <v>199340.22</v>
      </c>
      <c r="M38" s="19">
        <v>22</v>
      </c>
      <c r="N38" s="68">
        <v>149510</v>
      </c>
      <c r="O38" s="29"/>
      <c r="P38" s="19">
        <f>0+2+3</f>
        <v>5</v>
      </c>
      <c r="Q38" s="68">
        <v>31742.5</v>
      </c>
      <c r="R38" s="805"/>
      <c r="S38" s="76"/>
      <c r="T38" s="19"/>
      <c r="U38" s="29"/>
      <c r="V38" s="19"/>
      <c r="W38" s="68"/>
      <c r="X38" s="19">
        <f t="shared" ref="X38:Y40" si="10">P38+R38+T38+V38</f>
        <v>5</v>
      </c>
      <c r="Y38" s="808">
        <f t="shared" si="10"/>
        <v>31742.5</v>
      </c>
      <c r="Z38" s="410">
        <f>X38/M38*100</f>
        <v>22.727272727272727</v>
      </c>
      <c r="AA38" s="29">
        <f t="shared" si="2"/>
        <v>21.231021336365462</v>
      </c>
      <c r="AB38" s="455">
        <f t="shared" si="7"/>
        <v>53</v>
      </c>
      <c r="AC38" s="431">
        <f t="shared" ref="AC38:AC43" si="11">Y38+J38</f>
        <v>709367.48900000006</v>
      </c>
      <c r="AD38" s="433">
        <f>AB38/G38*100</f>
        <v>88.333333333333329</v>
      </c>
      <c r="AE38" s="431">
        <f>AC38/H38*100</f>
        <v>88.948901442006274</v>
      </c>
      <c r="AF38" s="7"/>
      <c r="AO38" s="53">
        <f>145/6</f>
        <v>24.166666666666668</v>
      </c>
    </row>
    <row r="39" spans="1:41" ht="46.5" customHeight="1" x14ac:dyDescent="0.25">
      <c r="A39" s="7">
        <v>11</v>
      </c>
      <c r="B39" s="384" t="s">
        <v>535</v>
      </c>
      <c r="C39" s="381" t="s">
        <v>178</v>
      </c>
      <c r="D39" s="6" t="s">
        <v>57</v>
      </c>
      <c r="E39" s="4" t="s">
        <v>478</v>
      </c>
      <c r="F39" s="15" t="s">
        <v>477</v>
      </c>
      <c r="G39" s="418">
        <v>60</v>
      </c>
      <c r="H39" s="431">
        <v>825000</v>
      </c>
      <c r="I39" s="418">
        <v>48</v>
      </c>
      <c r="J39" s="431">
        <f>0+147510+57940+64578</f>
        <v>270028</v>
      </c>
      <c r="K39" s="19">
        <v>84</v>
      </c>
      <c r="L39" s="68">
        <v>198570</v>
      </c>
      <c r="M39" s="19">
        <v>84</v>
      </c>
      <c r="N39" s="68">
        <v>148927</v>
      </c>
      <c r="O39" s="29"/>
      <c r="P39" s="19">
        <f>0+32+10</f>
        <v>42</v>
      </c>
      <c r="Q39" s="68">
        <v>0</v>
      </c>
      <c r="R39" s="805"/>
      <c r="S39" s="284"/>
      <c r="T39" s="19"/>
      <c r="U39" s="9"/>
      <c r="V39" s="19"/>
      <c r="W39" s="9"/>
      <c r="X39" s="19">
        <f t="shared" si="10"/>
        <v>42</v>
      </c>
      <c r="Y39" s="808">
        <f t="shared" si="10"/>
        <v>0</v>
      </c>
      <c r="Z39" s="410">
        <f>X39/M39*100</f>
        <v>50</v>
      </c>
      <c r="AA39" s="29">
        <f t="shared" si="2"/>
        <v>0</v>
      </c>
      <c r="AB39" s="455">
        <f t="shared" si="7"/>
        <v>90</v>
      </c>
      <c r="AC39" s="431">
        <f t="shared" si="11"/>
        <v>270028</v>
      </c>
      <c r="AD39" s="433">
        <v>0</v>
      </c>
      <c r="AE39" s="420">
        <f>AC39/H39*100</f>
        <v>32.730666666666671</v>
      </c>
      <c r="AF39" s="7"/>
      <c r="AO39" s="53">
        <f>234/12</f>
        <v>19.5</v>
      </c>
    </row>
    <row r="40" spans="1:41" ht="59.25" customHeight="1" x14ac:dyDescent="0.25">
      <c r="A40" s="7">
        <v>12</v>
      </c>
      <c r="B40" s="384" t="s">
        <v>536</v>
      </c>
      <c r="C40" s="381" t="s">
        <v>192</v>
      </c>
      <c r="D40" s="6" t="s">
        <v>58</v>
      </c>
      <c r="E40" s="4" t="s">
        <v>479</v>
      </c>
      <c r="F40" s="15" t="s">
        <v>101</v>
      </c>
      <c r="G40" s="418">
        <v>60</v>
      </c>
      <c r="H40" s="431">
        <v>230000</v>
      </c>
      <c r="I40" s="418">
        <v>48</v>
      </c>
      <c r="J40" s="431">
        <f>0+29650+30450+15505</f>
        <v>75605</v>
      </c>
      <c r="K40" s="19">
        <v>119</v>
      </c>
      <c r="L40" s="68">
        <v>50696</v>
      </c>
      <c r="M40" s="19">
        <v>119</v>
      </c>
      <c r="N40" s="68">
        <v>50696</v>
      </c>
      <c r="O40" s="9"/>
      <c r="P40" s="9">
        <f>0+15+10</f>
        <v>25</v>
      </c>
      <c r="Q40" s="68">
        <v>6000</v>
      </c>
      <c r="R40" s="805"/>
      <c r="S40" s="284"/>
      <c r="T40" s="19"/>
      <c r="U40" s="9"/>
      <c r="V40" s="19"/>
      <c r="W40" s="9"/>
      <c r="X40" s="19">
        <f t="shared" si="10"/>
        <v>25</v>
      </c>
      <c r="Y40" s="808">
        <f t="shared" si="10"/>
        <v>6000</v>
      </c>
      <c r="Z40" s="410">
        <f>X40/M40*100</f>
        <v>21.008403361344538</v>
      </c>
      <c r="AA40" s="29">
        <f t="shared" si="2"/>
        <v>11.835253274420072</v>
      </c>
      <c r="AB40" s="455">
        <f t="shared" si="7"/>
        <v>73</v>
      </c>
      <c r="AC40" s="431">
        <f t="shared" si="11"/>
        <v>81605</v>
      </c>
      <c r="AD40" s="433">
        <f>AB40/G40*100</f>
        <v>121.66666666666666</v>
      </c>
      <c r="AE40" s="420">
        <f>AC40/H40*100</f>
        <v>35.480434782608697</v>
      </c>
      <c r="AF40" s="7"/>
    </row>
    <row r="41" spans="1:41" s="376" customFormat="1" ht="65.25" customHeight="1" x14ac:dyDescent="0.25">
      <c r="A41" s="553" t="s">
        <v>5</v>
      </c>
      <c r="B41" s="986">
        <v>4.5856481481481477E-2</v>
      </c>
      <c r="C41" s="824" t="s">
        <v>167</v>
      </c>
      <c r="D41" s="463" t="s">
        <v>31</v>
      </c>
      <c r="E41" s="554" t="s">
        <v>109</v>
      </c>
      <c r="F41" s="555" t="s">
        <v>93</v>
      </c>
      <c r="G41" s="556">
        <v>100</v>
      </c>
      <c r="H41" s="574">
        <f>1867500+250000+605000+335000+340000+420000+135000+50000</f>
        <v>4002500</v>
      </c>
      <c r="I41" s="891">
        <f>'[4]TW IV FIX'!$AB$40</f>
        <v>100</v>
      </c>
      <c r="J41" s="574">
        <f>'[4]TW IV FIX'!$AC$40</f>
        <v>3401014.8</v>
      </c>
      <c r="K41" s="556">
        <v>100</v>
      </c>
      <c r="L41" s="562">
        <f>L44-L42-L43</f>
        <v>1195962</v>
      </c>
      <c r="M41" s="556">
        <v>100</v>
      </c>
      <c r="N41" s="574">
        <f>N44-N42</f>
        <v>1190037</v>
      </c>
      <c r="O41" s="570" t="e">
        <f>#REF!+O45+O46+O48+O49+O50+O52+O54+O55+O56+O57+#REF!+O58+O59-O48-O49-O50-O52</f>
        <v>#REF!</v>
      </c>
      <c r="P41" s="569">
        <v>25</v>
      </c>
      <c r="Q41" s="574">
        <f xml:space="preserve"> Q45+Q46+Q52+Q59</f>
        <v>82087.399999999994</v>
      </c>
      <c r="R41" s="569"/>
      <c r="S41" s="568"/>
      <c r="T41" s="569"/>
      <c r="U41" s="568"/>
      <c r="V41" s="568"/>
      <c r="W41" s="568"/>
      <c r="X41" s="569">
        <f t="shared" si="1"/>
        <v>25</v>
      </c>
      <c r="Y41" s="574">
        <f>Q41+S41+U41+W41</f>
        <v>82087.399999999994</v>
      </c>
      <c r="Z41" s="815">
        <f>X41/M41*100</f>
        <v>25</v>
      </c>
      <c r="AA41" s="559">
        <f t="shared" si="2"/>
        <v>6.8978863682389697</v>
      </c>
      <c r="AB41" s="815">
        <v>100</v>
      </c>
      <c r="AC41" s="574">
        <f t="shared" si="11"/>
        <v>3483102.1999999997</v>
      </c>
      <c r="AD41" s="896">
        <f>AB41/G41*100</f>
        <v>100</v>
      </c>
      <c r="AE41" s="815">
        <f>AC41/H41*100</f>
        <v>87.023165521549032</v>
      </c>
      <c r="AF41" s="555"/>
    </row>
    <row r="42" spans="1:41" s="376" customFormat="1" ht="65.25" customHeight="1" x14ac:dyDescent="0.25">
      <c r="A42" s="553"/>
      <c r="B42" s="566"/>
      <c r="C42" s="824"/>
      <c r="D42" s="463"/>
      <c r="E42" s="554" t="s">
        <v>431</v>
      </c>
      <c r="F42" s="555" t="s">
        <v>93</v>
      </c>
      <c r="G42" s="556">
        <v>100</v>
      </c>
      <c r="H42" s="574">
        <v>550000</v>
      </c>
      <c r="I42" s="891">
        <v>100</v>
      </c>
      <c r="J42" s="574">
        <f>'[4]TW IV FIX'!$AC$41</f>
        <v>283281.7</v>
      </c>
      <c r="K42" s="556">
        <v>100</v>
      </c>
      <c r="L42" s="562">
        <f>N42</f>
        <v>110000</v>
      </c>
      <c r="M42" s="556">
        <v>100</v>
      </c>
      <c r="N42" s="574">
        <f>N52</f>
        <v>110000</v>
      </c>
      <c r="O42" s="570">
        <f>O52</f>
        <v>0</v>
      </c>
      <c r="P42" s="569">
        <v>100</v>
      </c>
      <c r="Q42" s="574">
        <v>0</v>
      </c>
      <c r="R42" s="569"/>
      <c r="S42" s="568"/>
      <c r="T42" s="569"/>
      <c r="U42" s="568"/>
      <c r="V42" s="568"/>
      <c r="W42" s="568"/>
      <c r="X42" s="569">
        <f t="shared" si="1"/>
        <v>100</v>
      </c>
      <c r="Y42" s="574">
        <f t="shared" si="1"/>
        <v>0</v>
      </c>
      <c r="Z42" s="815">
        <v>133.29</v>
      </c>
      <c r="AA42" s="559">
        <f t="shared" si="2"/>
        <v>0</v>
      </c>
      <c r="AB42" s="815">
        <v>100</v>
      </c>
      <c r="AC42" s="574">
        <f t="shared" si="11"/>
        <v>283281.7</v>
      </c>
      <c r="AD42" s="896">
        <f>+AB42</f>
        <v>100</v>
      </c>
      <c r="AE42" s="815">
        <f>AC42/H42*100</f>
        <v>51.505763636363646</v>
      </c>
      <c r="AF42" s="555"/>
    </row>
    <row r="43" spans="1:41" s="376" customFormat="1" ht="65.25" customHeight="1" x14ac:dyDescent="0.25">
      <c r="A43" s="553"/>
      <c r="B43" s="566"/>
      <c r="C43" s="824"/>
      <c r="D43" s="463"/>
      <c r="E43" s="554" t="s">
        <v>430</v>
      </c>
      <c r="F43" s="555" t="s">
        <v>93</v>
      </c>
      <c r="G43" s="556">
        <v>2.23</v>
      </c>
      <c r="H43" s="574">
        <v>887500</v>
      </c>
      <c r="I43" s="815">
        <f>'[4]TW IV FIX'!$AB$42</f>
        <v>1.5940000000000001</v>
      </c>
      <c r="J43" s="574">
        <f>'[4]TW IV FIX'!$AC$42</f>
        <v>1842129.5</v>
      </c>
      <c r="K43" s="556">
        <v>2.23</v>
      </c>
      <c r="L43" s="562">
        <v>0</v>
      </c>
      <c r="M43" s="556">
        <v>2.23</v>
      </c>
      <c r="N43" s="574">
        <f>N50</f>
        <v>0</v>
      </c>
      <c r="O43" s="570">
        <f>SUM(O48:O50)</f>
        <v>0</v>
      </c>
      <c r="P43" s="569">
        <v>1.59</v>
      </c>
      <c r="Q43" s="574">
        <v>0</v>
      </c>
      <c r="R43" s="569"/>
      <c r="S43" s="568"/>
      <c r="T43" s="569"/>
      <c r="U43" s="568"/>
      <c r="V43" s="570"/>
      <c r="W43" s="568"/>
      <c r="X43" s="815">
        <f t="shared" si="1"/>
        <v>1.59</v>
      </c>
      <c r="Y43" s="574">
        <f t="shared" si="1"/>
        <v>0</v>
      </c>
      <c r="Z43" s="815">
        <f>X43/M43*100</f>
        <v>71.300448430493276</v>
      </c>
      <c r="AA43" s="559" t="e">
        <f t="shared" si="2"/>
        <v>#DIV/0!</v>
      </c>
      <c r="AB43" s="815">
        <f>+X43</f>
        <v>1.59</v>
      </c>
      <c r="AC43" s="574">
        <f t="shared" si="11"/>
        <v>1842129.5</v>
      </c>
      <c r="AD43" s="896">
        <f>AB43/G43*100</f>
        <v>71.300448430493276</v>
      </c>
      <c r="AE43" s="815">
        <f>AC43/H43*100</f>
        <v>207.56388732394365</v>
      </c>
      <c r="AF43" s="555"/>
    </row>
    <row r="44" spans="1:41" s="376" customFormat="1" ht="49.5" customHeight="1" x14ac:dyDescent="0.25">
      <c r="A44" s="531"/>
      <c r="B44" s="528" t="s">
        <v>537</v>
      </c>
      <c r="C44" s="547"/>
      <c r="D44" s="513" t="s">
        <v>32</v>
      </c>
      <c r="E44" s="512" t="s">
        <v>449</v>
      </c>
      <c r="F44" s="531" t="s">
        <v>441</v>
      </c>
      <c r="G44" s="718"/>
      <c r="H44" s="720"/>
      <c r="I44" s="718"/>
      <c r="J44" s="720"/>
      <c r="K44" s="538">
        <f>SUM(K45:K50)</f>
        <v>1451</v>
      </c>
      <c r="L44" s="937">
        <f t="shared" ref="L44:Q44" si="12">SUM(L45:L59)</f>
        <v>1305962</v>
      </c>
      <c r="M44" s="538">
        <f t="shared" si="12"/>
        <v>1750</v>
      </c>
      <c r="N44" s="937">
        <f t="shared" si="12"/>
        <v>1300037</v>
      </c>
      <c r="O44" s="862">
        <f t="shared" si="12"/>
        <v>0</v>
      </c>
      <c r="P44" s="538">
        <f t="shared" si="12"/>
        <v>40</v>
      </c>
      <c r="Q44" s="937">
        <f t="shared" si="12"/>
        <v>82087.399999999994</v>
      </c>
      <c r="R44" s="538"/>
      <c r="S44" s="862"/>
      <c r="T44" s="538"/>
      <c r="U44" s="861"/>
      <c r="V44" s="538"/>
      <c r="W44" s="860"/>
      <c r="X44" s="538">
        <f>P44+R44+T44+V44</f>
        <v>40</v>
      </c>
      <c r="Y44" s="937">
        <f>SUM(Y45:Y59)</f>
        <v>82087.399999999994</v>
      </c>
      <c r="Z44" s="544">
        <f>X44/M44*100</f>
        <v>2.2857142857142856</v>
      </c>
      <c r="AA44" s="865">
        <f t="shared" si="2"/>
        <v>6.3142356717539583</v>
      </c>
      <c r="AB44" s="843"/>
      <c r="AC44" s="948"/>
      <c r="AD44" s="846"/>
      <c r="AE44" s="845"/>
      <c r="AF44" s="531"/>
      <c r="AG44" s="376">
        <f>250+24+462+650+250+(12*25)+50+60</f>
        <v>2046</v>
      </c>
      <c r="AO44" s="376">
        <f>M45+M46+M48+M49+M54+M55+M56</f>
        <v>1736</v>
      </c>
    </row>
    <row r="45" spans="1:41" ht="60" customHeight="1" x14ac:dyDescent="0.25">
      <c r="A45" s="7">
        <v>13</v>
      </c>
      <c r="B45" s="384" t="s">
        <v>538</v>
      </c>
      <c r="C45" s="381" t="s">
        <v>168</v>
      </c>
      <c r="D45" s="6" t="s">
        <v>61</v>
      </c>
      <c r="E45" s="4" t="s">
        <v>111</v>
      </c>
      <c r="F45" s="7" t="s">
        <v>112</v>
      </c>
      <c r="G45" s="418">
        <v>3000</v>
      </c>
      <c r="H45" s="431">
        <v>250000</v>
      </c>
      <c r="I45" s="418" t="s">
        <v>427</v>
      </c>
      <c r="J45" s="431">
        <f>50000+18500+0</f>
        <v>68500</v>
      </c>
      <c r="K45" s="19">
        <v>250</v>
      </c>
      <c r="L45" s="68">
        <v>30000</v>
      </c>
      <c r="M45" s="19">
        <v>250</v>
      </c>
      <c r="N45" s="68">
        <v>30000</v>
      </c>
      <c r="O45" s="9"/>
      <c r="P45" s="19">
        <v>0</v>
      </c>
      <c r="Q45" s="68">
        <v>0</v>
      </c>
      <c r="R45" s="805"/>
      <c r="S45" s="284"/>
      <c r="T45" s="19"/>
      <c r="U45" s="9"/>
      <c r="V45" s="19"/>
      <c r="W45" s="9"/>
      <c r="X45" s="19">
        <f t="shared" si="1"/>
        <v>0</v>
      </c>
      <c r="Y45" s="68">
        <f t="shared" si="1"/>
        <v>0</v>
      </c>
      <c r="Z45" s="410">
        <f>X45/M45*100</f>
        <v>0</v>
      </c>
      <c r="AA45" s="29">
        <f t="shared" si="2"/>
        <v>0</v>
      </c>
      <c r="AB45" s="455" t="e">
        <f>I45+X45</f>
        <v>#VALUE!</v>
      </c>
      <c r="AC45" s="431">
        <f>Y45+J45</f>
        <v>68500</v>
      </c>
      <c r="AD45" s="433" t="e">
        <f>AB45/G45*100</f>
        <v>#VALUE!</v>
      </c>
      <c r="AE45" s="420">
        <f>AC45/H45*100</f>
        <v>27.400000000000002</v>
      </c>
      <c r="AF45" s="7"/>
      <c r="AG45" s="53" t="s">
        <v>417</v>
      </c>
    </row>
    <row r="46" spans="1:41" ht="64.5" customHeight="1" x14ac:dyDescent="0.25">
      <c r="A46" s="7">
        <v>14</v>
      </c>
      <c r="B46" s="384" t="s">
        <v>539</v>
      </c>
      <c r="C46" s="381" t="s">
        <v>166</v>
      </c>
      <c r="D46" s="6" t="s">
        <v>62</v>
      </c>
      <c r="E46" s="4" t="s">
        <v>113</v>
      </c>
      <c r="F46" s="15" t="s">
        <v>112</v>
      </c>
      <c r="G46" s="418">
        <v>60</v>
      </c>
      <c r="H46" s="431">
        <v>1867500</v>
      </c>
      <c r="I46" s="418">
        <f>12+11+12+12</f>
        <v>47</v>
      </c>
      <c r="J46" s="431">
        <f>375843+359400+390000+375920</f>
        <v>1501163</v>
      </c>
      <c r="K46" s="19">
        <v>24</v>
      </c>
      <c r="L46" s="68">
        <v>406049.9</v>
      </c>
      <c r="M46" s="19">
        <v>24</v>
      </c>
      <c r="N46" s="68">
        <v>402224.9</v>
      </c>
      <c r="O46" s="23"/>
      <c r="P46" s="377">
        <v>24</v>
      </c>
      <c r="Q46" s="68">
        <v>66293.899999999994</v>
      </c>
      <c r="R46" s="805"/>
      <c r="S46" s="284"/>
      <c r="T46" s="19"/>
      <c r="U46" s="9"/>
      <c r="V46" s="19"/>
      <c r="W46" s="9"/>
      <c r="X46" s="19">
        <v>24</v>
      </c>
      <c r="Y46" s="68">
        <f t="shared" si="1"/>
        <v>66293.899999999994</v>
      </c>
      <c r="Z46" s="410">
        <f>X46/M46*100</f>
        <v>100</v>
      </c>
      <c r="AA46" s="29">
        <f t="shared" si="2"/>
        <v>16.481799112884357</v>
      </c>
      <c r="AB46" s="455">
        <f>I46+X46</f>
        <v>71</v>
      </c>
      <c r="AC46" s="431">
        <f>Y46+J46</f>
        <v>1567456.9</v>
      </c>
      <c r="AD46" s="433">
        <f>AB46/G46*100</f>
        <v>118.33333333333333</v>
      </c>
      <c r="AE46" s="420">
        <f>AC46/H46*100</f>
        <v>83.933435073627834</v>
      </c>
      <c r="AF46" s="7"/>
    </row>
    <row r="47" spans="1:41" ht="73.5" hidden="1" customHeight="1" x14ac:dyDescent="0.25">
      <c r="A47" s="46"/>
      <c r="B47" s="704"/>
      <c r="C47" s="470" t="s">
        <v>157</v>
      </c>
      <c r="D47" s="705"/>
      <c r="E47" s="18"/>
      <c r="F47" s="7"/>
      <c r="G47" s="745"/>
      <c r="H47" s="794"/>
      <c r="I47" s="746"/>
      <c r="J47" s="794"/>
      <c r="K47" s="791"/>
      <c r="L47" s="794"/>
      <c r="M47" s="791"/>
      <c r="N47" s="940"/>
      <c r="O47" s="793"/>
      <c r="P47" s="745"/>
      <c r="Q47" s="794"/>
      <c r="R47" s="807"/>
      <c r="S47" s="811"/>
      <c r="T47" s="745"/>
      <c r="U47" s="746"/>
      <c r="V47" s="745"/>
      <c r="W47" s="746"/>
      <c r="X47" s="745"/>
      <c r="Y47" s="794"/>
      <c r="Z47" s="795"/>
      <c r="AA47" s="57" t="e">
        <f t="shared" si="2"/>
        <v>#DIV/0!</v>
      </c>
      <c r="AB47" s="797"/>
      <c r="AC47" s="794"/>
      <c r="AD47" s="798"/>
      <c r="AE47" s="796"/>
      <c r="AF47" s="799"/>
    </row>
    <row r="48" spans="1:41" ht="63" customHeight="1" x14ac:dyDescent="0.25">
      <c r="A48" s="610">
        <v>15</v>
      </c>
      <c r="B48" s="978" t="s">
        <v>540</v>
      </c>
      <c r="C48" s="831" t="s">
        <v>247</v>
      </c>
      <c r="D48" s="13" t="s">
        <v>63</v>
      </c>
      <c r="E48" s="18" t="s">
        <v>114</v>
      </c>
      <c r="F48" s="333" t="s">
        <v>112</v>
      </c>
      <c r="G48" s="604">
        <v>1561</v>
      </c>
      <c r="H48" s="684">
        <v>935000</v>
      </c>
      <c r="I48" s="604">
        <f>12+3+247+1250</f>
        <v>1512</v>
      </c>
      <c r="J48" s="684">
        <f>614674+95806+119696+467421.58</f>
        <v>1297597.58</v>
      </c>
      <c r="K48" s="582">
        <v>462</v>
      </c>
      <c r="L48" s="594">
        <v>436555</v>
      </c>
      <c r="M48" s="582">
        <v>462</v>
      </c>
      <c r="N48" s="941">
        <v>296555</v>
      </c>
      <c r="O48" s="66"/>
      <c r="P48" s="459">
        <v>0</v>
      </c>
      <c r="Q48" s="594">
        <v>0</v>
      </c>
      <c r="R48" s="753"/>
      <c r="S48" s="809"/>
      <c r="T48" s="459"/>
      <c r="U48" s="492"/>
      <c r="V48" s="459"/>
      <c r="W48" s="492"/>
      <c r="X48" s="459">
        <f t="shared" si="1"/>
        <v>0</v>
      </c>
      <c r="Y48" s="594">
        <f t="shared" si="1"/>
        <v>0</v>
      </c>
      <c r="Z48" s="663">
        <f>X48/M48*100</f>
        <v>0</v>
      </c>
      <c r="AA48" s="57">
        <f t="shared" si="2"/>
        <v>0</v>
      </c>
      <c r="AB48" s="922">
        <f>I48+X48</f>
        <v>1512</v>
      </c>
      <c r="AC48" s="949">
        <f>Y48+J48</f>
        <v>1297597.58</v>
      </c>
      <c r="AD48" s="841">
        <f t="shared" ref="AD48:AE50" si="13">AB48/G48*100</f>
        <v>96.860986547085204</v>
      </c>
      <c r="AE48" s="682">
        <f t="shared" si="13"/>
        <v>138.7804898395722</v>
      </c>
      <c r="AF48" s="656"/>
    </row>
    <row r="49" spans="1:40" ht="36.75" customHeight="1" x14ac:dyDescent="0.25">
      <c r="A49" s="610"/>
      <c r="B49" s="763"/>
      <c r="C49" s="831" t="s">
        <v>258</v>
      </c>
      <c r="D49" s="44"/>
      <c r="E49" s="18" t="s">
        <v>115</v>
      </c>
      <c r="F49" s="333" t="s">
        <v>112</v>
      </c>
      <c r="G49" s="626">
        <v>332</v>
      </c>
      <c r="H49" s="627">
        <v>895000</v>
      </c>
      <c r="I49" s="626">
        <f>0+10+200+0</f>
        <v>210</v>
      </c>
      <c r="J49" s="627">
        <f>69896+70584+0</f>
        <v>140480</v>
      </c>
      <c r="K49" s="582">
        <v>650</v>
      </c>
      <c r="L49" s="659"/>
      <c r="M49" s="582">
        <v>650</v>
      </c>
      <c r="N49" s="941">
        <v>140000</v>
      </c>
      <c r="O49" s="65"/>
      <c r="P49" s="622">
        <v>0</v>
      </c>
      <c r="Q49" s="659"/>
      <c r="R49" s="721"/>
      <c r="S49" s="725"/>
      <c r="T49" s="622"/>
      <c r="U49" s="624"/>
      <c r="V49" s="622"/>
      <c r="W49" s="624"/>
      <c r="X49" s="721">
        <f t="shared" si="1"/>
        <v>0</v>
      </c>
      <c r="Y49" s="627">
        <f t="shared" si="1"/>
        <v>0</v>
      </c>
      <c r="Z49" s="752">
        <f>X49/M49*100</f>
        <v>0</v>
      </c>
      <c r="AA49" s="493"/>
      <c r="AB49" s="924">
        <f>I49+X49</f>
        <v>210</v>
      </c>
      <c r="AC49" s="950">
        <f>Y49+J49</f>
        <v>140480</v>
      </c>
      <c r="AD49" s="626">
        <f t="shared" si="13"/>
        <v>63.253012048192772</v>
      </c>
      <c r="AE49" s="629">
        <f t="shared" si="13"/>
        <v>15.69608938547486</v>
      </c>
      <c r="AF49" s="658"/>
      <c r="AG49" s="53" t="s">
        <v>417</v>
      </c>
    </row>
    <row r="50" spans="1:40" ht="74.25" customHeight="1" x14ac:dyDescent="0.25">
      <c r="A50" s="610"/>
      <c r="B50" s="479"/>
      <c r="C50" s="614" t="s">
        <v>162</v>
      </c>
      <c r="D50" s="44"/>
      <c r="E50" s="619" t="s">
        <v>116</v>
      </c>
      <c r="F50" s="609" t="s">
        <v>112</v>
      </c>
      <c r="G50" s="626">
        <v>130</v>
      </c>
      <c r="H50" s="627">
        <v>295000</v>
      </c>
      <c r="I50" s="626">
        <f>20+35+30+20</f>
        <v>105</v>
      </c>
      <c r="J50" s="627">
        <f>24510+42530+16750+7478.5</f>
        <v>91268.5</v>
      </c>
      <c r="K50" s="908">
        <v>65</v>
      </c>
      <c r="L50" s="659"/>
      <c r="M50" s="908">
        <v>0</v>
      </c>
      <c r="N50" s="893">
        <v>0</v>
      </c>
      <c r="O50" s="580"/>
      <c r="P50" s="622">
        <v>0</v>
      </c>
      <c r="Q50" s="659"/>
      <c r="R50" s="721"/>
      <c r="S50" s="725"/>
      <c r="T50" s="622"/>
      <c r="U50" s="624"/>
      <c r="V50" s="622"/>
      <c r="W50" s="624"/>
      <c r="X50" s="721">
        <f t="shared" si="1"/>
        <v>0</v>
      </c>
      <c r="Y50" s="627">
        <f t="shared" si="1"/>
        <v>0</v>
      </c>
      <c r="Z50" s="628" t="e">
        <f>X50/M50*100</f>
        <v>#DIV/0!</v>
      </c>
      <c r="AA50" s="493" t="e">
        <f>Y50/N50*100</f>
        <v>#DIV/0!</v>
      </c>
      <c r="AB50" s="652">
        <f>I50+X50</f>
        <v>105</v>
      </c>
      <c r="AC50" s="950">
        <f>Y50+J50</f>
        <v>91268.5</v>
      </c>
      <c r="AD50" s="626">
        <f t="shared" si="13"/>
        <v>80.769230769230774</v>
      </c>
      <c r="AE50" s="629">
        <f t="shared" si="13"/>
        <v>30.938474576271187</v>
      </c>
      <c r="AF50" s="658"/>
    </row>
    <row r="51" spans="1:40" ht="33.75" hidden="1" customHeight="1" x14ac:dyDescent="0.25">
      <c r="A51" s="46"/>
      <c r="B51" s="987"/>
      <c r="C51" s="979" t="s">
        <v>161</v>
      </c>
      <c r="D51" s="691"/>
      <c r="E51" s="969"/>
      <c r="F51" s="957"/>
      <c r="G51" s="604"/>
      <c r="H51" s="684"/>
      <c r="I51" s="604"/>
      <c r="J51" s="684"/>
      <c r="K51" s="908"/>
      <c r="L51" s="893"/>
      <c r="M51" s="459"/>
      <c r="N51" s="970"/>
      <c r="O51" s="967"/>
      <c r="P51" s="459"/>
      <c r="Q51" s="594"/>
      <c r="R51" s="753"/>
      <c r="S51" s="754"/>
      <c r="T51" s="459"/>
      <c r="U51" s="69"/>
      <c r="V51" s="459"/>
      <c r="W51" s="69"/>
      <c r="X51" s="459"/>
      <c r="Y51" s="594"/>
      <c r="Z51" s="641"/>
      <c r="AA51" s="664" t="e">
        <f>Y51/N51*100</f>
        <v>#DIV/0!</v>
      </c>
      <c r="AB51" s="839"/>
      <c r="AC51" s="684"/>
      <c r="AD51" s="604"/>
      <c r="AE51" s="682"/>
      <c r="AF51" s="46"/>
    </row>
    <row r="52" spans="1:40" ht="73.5" customHeight="1" x14ac:dyDescent="0.25">
      <c r="A52" s="609">
        <v>16</v>
      </c>
      <c r="B52" s="978" t="s">
        <v>541</v>
      </c>
      <c r="C52" s="988" t="s">
        <v>26</v>
      </c>
      <c r="D52" s="13" t="s">
        <v>33</v>
      </c>
      <c r="E52" s="977" t="s">
        <v>118</v>
      </c>
      <c r="F52" s="7" t="s">
        <v>119</v>
      </c>
      <c r="G52" s="604">
        <v>44</v>
      </c>
      <c r="H52" s="684">
        <v>550000</v>
      </c>
      <c r="I52" s="604">
        <f>0+8+5+13</f>
        <v>26</v>
      </c>
      <c r="J52" s="684">
        <f>48917+49500+74964.7</f>
        <v>173381.7</v>
      </c>
      <c r="K52" s="582">
        <v>12</v>
      </c>
      <c r="L52" s="893">
        <v>383357.1</v>
      </c>
      <c r="M52" s="19">
        <v>12</v>
      </c>
      <c r="N52" s="68">
        <v>110000</v>
      </c>
      <c r="O52" s="968"/>
      <c r="P52" s="459">
        <v>14</v>
      </c>
      <c r="Q52" s="594">
        <v>14402.7</v>
      </c>
      <c r="R52" s="753"/>
      <c r="S52" s="759"/>
      <c r="T52" s="459"/>
      <c r="U52" s="69"/>
      <c r="V52" s="459"/>
      <c r="W52" s="594"/>
      <c r="X52" s="459">
        <f t="shared" si="1"/>
        <v>14</v>
      </c>
      <c r="Y52" s="594">
        <f t="shared" si="1"/>
        <v>14402.7</v>
      </c>
      <c r="Z52" s="961">
        <f>X52/M52*100</f>
        <v>116.66666666666667</v>
      </c>
      <c r="AA52" s="664">
        <f>Y52/N52*100</f>
        <v>13.093363636363636</v>
      </c>
      <c r="AB52" s="839">
        <f>I52+X52</f>
        <v>40</v>
      </c>
      <c r="AC52" s="684">
        <f>Y52+J52</f>
        <v>187784.40000000002</v>
      </c>
      <c r="AD52" s="841">
        <f>AB52/G52*100</f>
        <v>90.909090909090907</v>
      </c>
      <c r="AE52" s="682">
        <f>AC52/H52*100</f>
        <v>34.142618181818186</v>
      </c>
      <c r="AF52" s="46"/>
      <c r="AG52" s="53" t="s">
        <v>417</v>
      </c>
    </row>
    <row r="53" spans="1:40" ht="47.25" hidden="1" customHeight="1" x14ac:dyDescent="0.25">
      <c r="A53" s="610"/>
      <c r="B53" s="990"/>
      <c r="C53" s="989" t="s">
        <v>167</v>
      </c>
      <c r="D53" s="693"/>
      <c r="E53" s="690"/>
      <c r="F53" s="610"/>
      <c r="G53" s="626"/>
      <c r="H53" s="627"/>
      <c r="I53" s="626"/>
      <c r="J53" s="627"/>
      <c r="L53" s="659"/>
      <c r="M53" s="672"/>
      <c r="N53" s="943"/>
      <c r="O53" s="661"/>
      <c r="P53" s="622"/>
      <c r="Q53" s="659"/>
      <c r="R53" s="721"/>
      <c r="S53" s="725"/>
      <c r="T53" s="622"/>
      <c r="U53" s="624"/>
      <c r="V53" s="622"/>
      <c r="W53" s="624"/>
      <c r="X53" s="622"/>
      <c r="Y53" s="659"/>
      <c r="Z53" s="786"/>
      <c r="AA53" s="661" t="e">
        <f>Y53/N53*100</f>
        <v>#DIV/0!</v>
      </c>
      <c r="AB53" s="652"/>
      <c r="AC53" s="627"/>
      <c r="AD53" s="626"/>
      <c r="AE53" s="631"/>
      <c r="AF53" s="482"/>
    </row>
    <row r="54" spans="1:40" ht="42" customHeight="1" x14ac:dyDescent="0.25">
      <c r="A54" s="610"/>
      <c r="B54" s="763"/>
      <c r="C54" s="831" t="s">
        <v>27</v>
      </c>
      <c r="D54" s="44"/>
      <c r="E54" s="471" t="s">
        <v>117</v>
      </c>
      <c r="F54" s="611" t="s">
        <v>112</v>
      </c>
      <c r="G54" s="626">
        <v>1000</v>
      </c>
      <c r="H54" s="627">
        <v>605000</v>
      </c>
      <c r="I54" s="626">
        <f>1+1+1+207</f>
        <v>210</v>
      </c>
      <c r="J54" s="627">
        <f>88214+118350+128000+44100</f>
        <v>378664</v>
      </c>
      <c r="K54" s="909">
        <v>250</v>
      </c>
      <c r="L54" s="659"/>
      <c r="M54" s="625">
        <v>250</v>
      </c>
      <c r="N54" s="944">
        <v>122900</v>
      </c>
      <c r="O54" s="654"/>
      <c r="P54" s="622">
        <v>0</v>
      </c>
      <c r="Q54" s="659"/>
      <c r="R54" s="721"/>
      <c r="S54" s="725"/>
      <c r="T54" s="622"/>
      <c r="U54" s="624"/>
      <c r="V54" s="622"/>
      <c r="W54" s="624"/>
      <c r="X54" s="622">
        <f t="shared" si="1"/>
        <v>0</v>
      </c>
      <c r="Y54" s="627">
        <f t="shared" si="1"/>
        <v>0</v>
      </c>
      <c r="Z54" s="851">
        <f t="shared" ref="Z54:Z66" si="14">X54/M54*100</f>
        <v>0</v>
      </c>
      <c r="AA54" s="661"/>
      <c r="AB54" s="652">
        <f t="shared" ref="AB54:AB59" si="15">I54+X54</f>
        <v>210</v>
      </c>
      <c r="AC54" s="627">
        <f t="shared" ref="AC54:AC62" si="16">Y54+J54</f>
        <v>378664</v>
      </c>
      <c r="AD54" s="626">
        <f t="shared" ref="AD54:AD62" si="17">AB54/G54*100</f>
        <v>21</v>
      </c>
      <c r="AE54" s="631">
        <f t="shared" ref="AE54:AE62" si="18">AC54/H54*100</f>
        <v>62.589090909090906</v>
      </c>
      <c r="AF54" s="482"/>
    </row>
    <row r="55" spans="1:40" ht="81" customHeight="1" x14ac:dyDescent="0.25">
      <c r="A55" s="610"/>
      <c r="B55" s="763"/>
      <c r="C55" s="614" t="s">
        <v>170</v>
      </c>
      <c r="D55" s="44"/>
      <c r="E55" s="471" t="s">
        <v>120</v>
      </c>
      <c r="F55" s="611" t="s">
        <v>112</v>
      </c>
      <c r="G55" s="626">
        <v>410</v>
      </c>
      <c r="H55" s="627">
        <f>100000+420000</f>
        <v>520000</v>
      </c>
      <c r="I55" s="626">
        <f>10+80+60+50</f>
        <v>200</v>
      </c>
      <c r="J55" s="627">
        <f>97108+121991+101949+65264.45</f>
        <v>386312.45</v>
      </c>
      <c r="K55" s="909">
        <v>50</v>
      </c>
      <c r="L55" s="659"/>
      <c r="M55" s="909">
        <v>50</v>
      </c>
      <c r="N55" s="944">
        <v>76837.100000000006</v>
      </c>
      <c r="O55" s="581"/>
      <c r="P55" s="622">
        <v>0</v>
      </c>
      <c r="Q55" s="659"/>
      <c r="R55" s="721"/>
      <c r="S55" s="725"/>
      <c r="T55" s="622"/>
      <c r="U55" s="624"/>
      <c r="V55" s="622"/>
      <c r="W55" s="624"/>
      <c r="X55" s="622">
        <f t="shared" si="1"/>
        <v>0</v>
      </c>
      <c r="Y55" s="627">
        <f t="shared" si="1"/>
        <v>0</v>
      </c>
      <c r="Z55" s="851">
        <f t="shared" si="14"/>
        <v>0</v>
      </c>
      <c r="AA55" s="661"/>
      <c r="AB55" s="652">
        <f t="shared" si="15"/>
        <v>200</v>
      </c>
      <c r="AC55" s="627">
        <f t="shared" si="16"/>
        <v>386312.45</v>
      </c>
      <c r="AD55" s="626">
        <f t="shared" si="17"/>
        <v>48.780487804878049</v>
      </c>
      <c r="AE55" s="631">
        <f t="shared" si="18"/>
        <v>74.290855769230774</v>
      </c>
      <c r="AF55" s="482"/>
    </row>
    <row r="56" spans="1:40" ht="36.75" customHeight="1" x14ac:dyDescent="0.25">
      <c r="A56" s="610"/>
      <c r="B56" s="763"/>
      <c r="C56" s="614" t="s">
        <v>28</v>
      </c>
      <c r="D56" s="44"/>
      <c r="E56" s="18" t="s">
        <v>121</v>
      </c>
      <c r="F56" s="494" t="s">
        <v>196</v>
      </c>
      <c r="G56" s="626">
        <v>120</v>
      </c>
      <c r="H56" s="627">
        <v>340000</v>
      </c>
      <c r="I56" s="626">
        <f>20+48+24+0</f>
        <v>92</v>
      </c>
      <c r="J56" s="627">
        <f>39255+69540+70000+0</f>
        <v>178795</v>
      </c>
      <c r="K56" s="582">
        <v>50</v>
      </c>
      <c r="L56" s="659"/>
      <c r="M56" s="582">
        <v>50</v>
      </c>
      <c r="N56" s="941">
        <v>41520</v>
      </c>
      <c r="O56" s="65"/>
      <c r="P56" s="622">
        <v>0</v>
      </c>
      <c r="Q56" s="659"/>
      <c r="R56" s="721"/>
      <c r="S56" s="725"/>
      <c r="T56" s="622"/>
      <c r="U56" s="624"/>
      <c r="V56" s="622"/>
      <c r="W56" s="624"/>
      <c r="X56" s="622">
        <f t="shared" si="1"/>
        <v>0</v>
      </c>
      <c r="Y56" s="627">
        <f t="shared" si="1"/>
        <v>0</v>
      </c>
      <c r="Z56" s="851">
        <f t="shared" si="14"/>
        <v>0</v>
      </c>
      <c r="AA56" s="661"/>
      <c r="AB56" s="652">
        <f t="shared" si="15"/>
        <v>92</v>
      </c>
      <c r="AC56" s="627">
        <f t="shared" si="16"/>
        <v>178795</v>
      </c>
      <c r="AD56" s="626">
        <f t="shared" si="17"/>
        <v>76.666666666666671</v>
      </c>
      <c r="AE56" s="631">
        <f t="shared" si="18"/>
        <v>52.586764705882352</v>
      </c>
      <c r="AF56" s="482"/>
    </row>
    <row r="57" spans="1:40" ht="43.5" hidden="1" customHeight="1" x14ac:dyDescent="0.25">
      <c r="A57" s="610"/>
      <c r="B57" s="763"/>
      <c r="C57" s="613"/>
      <c r="D57" s="44"/>
      <c r="E57" s="18" t="s">
        <v>480</v>
      </c>
      <c r="F57" s="494" t="s">
        <v>112</v>
      </c>
      <c r="G57" s="626"/>
      <c r="H57" s="627"/>
      <c r="I57" s="626">
        <v>284</v>
      </c>
      <c r="J57" s="627"/>
      <c r="K57" s="582">
        <v>284</v>
      </c>
      <c r="L57" s="659"/>
      <c r="M57" s="582">
        <v>0</v>
      </c>
      <c r="N57" s="941">
        <v>0</v>
      </c>
      <c r="O57" s="66"/>
      <c r="P57" s="622">
        <v>0</v>
      </c>
      <c r="Q57" s="659"/>
      <c r="R57" s="721"/>
      <c r="S57" s="725"/>
      <c r="T57" s="622"/>
      <c r="U57" s="624"/>
      <c r="V57" s="622"/>
      <c r="W57" s="624"/>
      <c r="X57" s="622">
        <f t="shared" si="1"/>
        <v>0</v>
      </c>
      <c r="Y57" s="627">
        <f t="shared" si="1"/>
        <v>0</v>
      </c>
      <c r="Z57" s="851" t="e">
        <f t="shared" si="14"/>
        <v>#DIV/0!</v>
      </c>
      <c r="AA57" s="661"/>
      <c r="AB57" s="652">
        <f t="shared" si="15"/>
        <v>284</v>
      </c>
      <c r="AC57" s="627">
        <f t="shared" si="16"/>
        <v>0</v>
      </c>
      <c r="AD57" s="626" t="e">
        <f t="shared" si="17"/>
        <v>#DIV/0!</v>
      </c>
      <c r="AE57" s="631" t="e">
        <f t="shared" si="18"/>
        <v>#DIV/0!</v>
      </c>
      <c r="AF57" s="482"/>
    </row>
    <row r="58" spans="1:40" ht="39.75" customHeight="1" x14ac:dyDescent="0.25">
      <c r="A58" s="611"/>
      <c r="B58" s="479"/>
      <c r="C58" s="615"/>
      <c r="D58" s="14"/>
      <c r="E58" s="18" t="s">
        <v>124</v>
      </c>
      <c r="F58" s="333" t="s">
        <v>125</v>
      </c>
      <c r="G58" s="593"/>
      <c r="H58" s="595"/>
      <c r="I58" s="593"/>
      <c r="J58" s="595"/>
      <c r="K58" s="582">
        <v>1</v>
      </c>
      <c r="L58" s="589"/>
      <c r="M58" s="582">
        <v>1</v>
      </c>
      <c r="N58" s="941">
        <v>30000</v>
      </c>
      <c r="O58" s="66"/>
      <c r="P58" s="55">
        <v>1</v>
      </c>
      <c r="Q58" s="589"/>
      <c r="R58" s="733"/>
      <c r="S58" s="606"/>
      <c r="T58" s="55"/>
      <c r="U58" s="67"/>
      <c r="V58" s="55"/>
      <c r="W58" s="67"/>
      <c r="X58" s="55">
        <f t="shared" si="1"/>
        <v>1</v>
      </c>
      <c r="Y58" s="595">
        <f t="shared" si="1"/>
        <v>0</v>
      </c>
      <c r="Z58" s="962">
        <f t="shared" si="14"/>
        <v>100</v>
      </c>
      <c r="AA58" s="654"/>
      <c r="AB58" s="601">
        <f t="shared" si="15"/>
        <v>1</v>
      </c>
      <c r="AC58" s="595">
        <f t="shared" si="16"/>
        <v>0</v>
      </c>
      <c r="AD58" s="593" t="e">
        <f t="shared" si="17"/>
        <v>#DIV/0!</v>
      </c>
      <c r="AE58" s="600" t="e">
        <f t="shared" si="18"/>
        <v>#DIV/0!</v>
      </c>
      <c r="AF58" s="47"/>
    </row>
    <row r="59" spans="1:40" ht="66.75" customHeight="1" x14ac:dyDescent="0.25">
      <c r="A59" s="47">
        <v>17</v>
      </c>
      <c r="B59" s="479" t="s">
        <v>542</v>
      </c>
      <c r="C59" s="826" t="s">
        <v>169</v>
      </c>
      <c r="D59" s="14" t="s">
        <v>64</v>
      </c>
      <c r="E59" s="4" t="s">
        <v>126</v>
      </c>
      <c r="F59" s="7" t="s">
        <v>481</v>
      </c>
      <c r="G59" s="593">
        <v>300</v>
      </c>
      <c r="H59" s="595">
        <v>335000</v>
      </c>
      <c r="I59" s="593">
        <f>6+4+3+6</f>
        <v>19</v>
      </c>
      <c r="J59" s="595">
        <f>73117+74340+74833+8210</f>
        <v>230500</v>
      </c>
      <c r="K59" s="19">
        <v>1</v>
      </c>
      <c r="L59" s="589">
        <v>50000</v>
      </c>
      <c r="M59" s="19">
        <v>1</v>
      </c>
      <c r="N59" s="68">
        <v>50000</v>
      </c>
      <c r="O59" s="23"/>
      <c r="P59" s="55">
        <v>1</v>
      </c>
      <c r="Q59" s="589">
        <v>1390.8</v>
      </c>
      <c r="R59" s="733"/>
      <c r="S59" s="606"/>
      <c r="T59" s="55"/>
      <c r="U59" s="67"/>
      <c r="V59" s="55"/>
      <c r="W59" s="67"/>
      <c r="X59" s="55">
        <f t="shared" si="1"/>
        <v>1</v>
      </c>
      <c r="Y59" s="589">
        <f t="shared" si="1"/>
        <v>1390.8</v>
      </c>
      <c r="Z59" s="590">
        <f t="shared" si="14"/>
        <v>100</v>
      </c>
      <c r="AA59" s="493">
        <f t="shared" ref="AA59:AA68" si="19">Y59/N59*100</f>
        <v>2.7816000000000001</v>
      </c>
      <c r="AB59" s="601">
        <f t="shared" si="15"/>
        <v>20</v>
      </c>
      <c r="AC59" s="595">
        <f t="shared" si="16"/>
        <v>231890.8</v>
      </c>
      <c r="AD59" s="842">
        <f t="shared" si="17"/>
        <v>6.666666666666667</v>
      </c>
      <c r="AE59" s="598">
        <f t="shared" si="18"/>
        <v>69.221134328358204</v>
      </c>
      <c r="AF59" s="47"/>
      <c r="AG59" s="53" t="s">
        <v>491</v>
      </c>
    </row>
    <row r="60" spans="1:40" s="376" customFormat="1" ht="57" customHeight="1" x14ac:dyDescent="0.25">
      <c r="A60" s="553" t="s">
        <v>6</v>
      </c>
      <c r="B60" s="986">
        <v>4.5879629629629631E-2</v>
      </c>
      <c r="C60" s="824" t="s">
        <v>158</v>
      </c>
      <c r="D60" s="463" t="s">
        <v>65</v>
      </c>
      <c r="E60" s="554" t="s">
        <v>128</v>
      </c>
      <c r="F60" s="555" t="s">
        <v>93</v>
      </c>
      <c r="G60" s="569">
        <v>45.38</v>
      </c>
      <c r="H60" s="574">
        <v>2985000</v>
      </c>
      <c r="I60" s="815">
        <f>'[4]TW IV FIX'!$AB$62</f>
        <v>63.45</v>
      </c>
      <c r="J60" s="574">
        <f>'[4]TW IV FIX'!$AC$62</f>
        <v>5899469.1420000009</v>
      </c>
      <c r="K60" s="556">
        <v>45.38</v>
      </c>
      <c r="L60" s="562">
        <f>L63+L72-L61-L62</f>
        <v>539037.4</v>
      </c>
      <c r="M60" s="556">
        <v>45.38</v>
      </c>
      <c r="N60" s="777">
        <f>N63+N72-N61-N62</f>
        <v>537599.9</v>
      </c>
      <c r="O60" s="649">
        <f>O63+O72-O61-O62</f>
        <v>0</v>
      </c>
      <c r="P60" s="779">
        <f>I60+0.7</f>
        <v>64.150000000000006</v>
      </c>
      <c r="Q60" s="777">
        <f>Q63+Q72-Q61-Q62</f>
        <v>22779</v>
      </c>
      <c r="R60" s="649"/>
      <c r="S60" s="649"/>
      <c r="T60" s="649"/>
      <c r="U60" s="649"/>
      <c r="V60" s="649"/>
      <c r="W60" s="649"/>
      <c r="X60" s="815">
        <f t="shared" si="1"/>
        <v>64.150000000000006</v>
      </c>
      <c r="Y60" s="574">
        <f>Q60+S60+U60+W60</f>
        <v>22779</v>
      </c>
      <c r="Z60" s="815">
        <f t="shared" si="14"/>
        <v>141.36183340678713</v>
      </c>
      <c r="AA60" s="559">
        <f t="shared" si="19"/>
        <v>4.2371659667347403</v>
      </c>
      <c r="AB60" s="815">
        <f>X60</f>
        <v>64.150000000000006</v>
      </c>
      <c r="AC60" s="574">
        <f t="shared" si="16"/>
        <v>5922248.1420000009</v>
      </c>
      <c r="AD60" s="896">
        <f t="shared" si="17"/>
        <v>141.36183340678713</v>
      </c>
      <c r="AE60" s="570">
        <f t="shared" si="18"/>
        <v>198.40027276381912</v>
      </c>
      <c r="AF60" s="898"/>
    </row>
    <row r="61" spans="1:40" s="376" customFormat="1" ht="70.5" customHeight="1" x14ac:dyDescent="0.25">
      <c r="A61" s="767"/>
      <c r="B61" s="566"/>
      <c r="C61" s="824"/>
      <c r="D61" s="768"/>
      <c r="E61" s="554" t="s">
        <v>432</v>
      </c>
      <c r="F61" s="555" t="s">
        <v>93</v>
      </c>
      <c r="G61" s="769">
        <v>3.63</v>
      </c>
      <c r="H61" s="574">
        <f>355000+535000</f>
        <v>890000</v>
      </c>
      <c r="I61" s="897">
        <f>'[4]TW IV FIX'!$AB$63</f>
        <v>3.4299999999999997</v>
      </c>
      <c r="J61" s="771">
        <f>'[4]TW IV FIX'!$AC$63</f>
        <v>636754.54999999993</v>
      </c>
      <c r="K61" s="556">
        <v>3.63</v>
      </c>
      <c r="L61" s="562">
        <f>N61</f>
        <v>144550</v>
      </c>
      <c r="M61" s="558">
        <v>3.63</v>
      </c>
      <c r="N61" s="777">
        <f>N65+N68+N69+N70</f>
        <v>144550</v>
      </c>
      <c r="O61" s="835">
        <f>O65+O68+O69+O70</f>
        <v>0</v>
      </c>
      <c r="P61" s="779">
        <f>I61+0.12</f>
        <v>3.55</v>
      </c>
      <c r="Q61" s="777">
        <f>Q65+Q68+Q69+Q70</f>
        <v>104679</v>
      </c>
      <c r="R61" s="835"/>
      <c r="S61" s="835"/>
      <c r="T61" s="835"/>
      <c r="U61" s="835"/>
      <c r="V61" s="835"/>
      <c r="W61" s="835"/>
      <c r="X61" s="815">
        <f>P61+R61+T61+V61</f>
        <v>3.55</v>
      </c>
      <c r="Y61" s="574">
        <f>Q61+S61+U61+W61</f>
        <v>104679</v>
      </c>
      <c r="Z61" s="815">
        <f t="shared" si="14"/>
        <v>97.796143250688701</v>
      </c>
      <c r="AA61" s="559">
        <f t="shared" si="19"/>
        <v>72.417156693185746</v>
      </c>
      <c r="AB61" s="815">
        <f>+X61</f>
        <v>3.55</v>
      </c>
      <c r="AC61" s="574">
        <f t="shared" si="16"/>
        <v>741433.54999999993</v>
      </c>
      <c r="AD61" s="896">
        <f t="shared" si="17"/>
        <v>97.796143250688701</v>
      </c>
      <c r="AE61" s="570">
        <f t="shared" si="18"/>
        <v>83.307140449438194</v>
      </c>
      <c r="AF61" s="555"/>
      <c r="AG61" s="27" t="s">
        <v>490</v>
      </c>
      <c r="AH61" s="376">
        <v>0.12215795771838851</v>
      </c>
      <c r="AN61" s="952">
        <f>49/40112*100</f>
        <v>0.12215795771838851</v>
      </c>
    </row>
    <row r="62" spans="1:40" s="376" customFormat="1" ht="53.25" customHeight="1" x14ac:dyDescent="0.25">
      <c r="A62" s="767"/>
      <c r="B62" s="566"/>
      <c r="C62" s="824"/>
      <c r="D62" s="768"/>
      <c r="E62" s="554" t="s">
        <v>433</v>
      </c>
      <c r="F62" s="555" t="s">
        <v>93</v>
      </c>
      <c r="G62" s="769">
        <v>68.06</v>
      </c>
      <c r="H62" s="574">
        <f>405000</f>
        <v>405000</v>
      </c>
      <c r="I62" s="897">
        <f>'[4]TW IV FIX'!$AB$64</f>
        <v>57.78</v>
      </c>
      <c r="J62" s="771">
        <f>'[4]TW IV FIX'!$AC$64</f>
        <v>194666.25</v>
      </c>
      <c r="K62" s="556">
        <v>68.06</v>
      </c>
      <c r="L62" s="562">
        <f>N62</f>
        <v>30562.6</v>
      </c>
      <c r="M62" s="556">
        <v>68.06</v>
      </c>
      <c r="N62" s="777">
        <f>N76</f>
        <v>30562.6</v>
      </c>
      <c r="O62" s="649">
        <f>O76</f>
        <v>0</v>
      </c>
      <c r="P62" s="779">
        <v>57.78</v>
      </c>
      <c r="Q62" s="777">
        <v>0</v>
      </c>
      <c r="R62" s="649"/>
      <c r="S62" s="649"/>
      <c r="T62" s="649"/>
      <c r="U62" s="649"/>
      <c r="V62" s="649"/>
      <c r="W62" s="649"/>
      <c r="X62" s="815">
        <f>P62+R62+T62+V62</f>
        <v>57.78</v>
      </c>
      <c r="Y62" s="574">
        <f>Q62+S62+U62+W62</f>
        <v>0</v>
      </c>
      <c r="Z62" s="815">
        <f t="shared" si="14"/>
        <v>84.895680282104024</v>
      </c>
      <c r="AA62" s="559">
        <f t="shared" si="19"/>
        <v>0</v>
      </c>
      <c r="AB62" s="815">
        <f>+X62</f>
        <v>57.78</v>
      </c>
      <c r="AC62" s="574">
        <f t="shared" si="16"/>
        <v>194666.25</v>
      </c>
      <c r="AD62" s="896">
        <f t="shared" si="17"/>
        <v>84.895680282104024</v>
      </c>
      <c r="AE62" s="570">
        <f t="shared" si="18"/>
        <v>48.065740740740743</v>
      </c>
      <c r="AF62" s="555"/>
    </row>
    <row r="63" spans="1:40" s="376" customFormat="1" ht="87" customHeight="1" x14ac:dyDescent="0.25">
      <c r="A63" s="534"/>
      <c r="B63" s="528" t="s">
        <v>543</v>
      </c>
      <c r="C63" s="547"/>
      <c r="D63" s="532" t="s">
        <v>66</v>
      </c>
      <c r="E63" s="512" t="s">
        <v>438</v>
      </c>
      <c r="F63" s="837" t="s">
        <v>112</v>
      </c>
      <c r="G63" s="685"/>
      <c r="H63" s="906"/>
      <c r="I63" s="685"/>
      <c r="J63" s="906"/>
      <c r="K63" s="538">
        <f t="shared" ref="K63:Q63" si="20">SUM(K64:K71)</f>
        <v>301</v>
      </c>
      <c r="L63" s="937">
        <f t="shared" si="20"/>
        <v>481550</v>
      </c>
      <c r="M63" s="538">
        <f>SUM(M64:M71)</f>
        <v>301</v>
      </c>
      <c r="N63" s="937">
        <f t="shared" si="20"/>
        <v>481550</v>
      </c>
      <c r="O63" s="860">
        <f t="shared" si="20"/>
        <v>0</v>
      </c>
      <c r="P63" s="538">
        <f t="shared" si="20"/>
        <v>108</v>
      </c>
      <c r="Q63" s="543">
        <f t="shared" si="20"/>
        <v>105138</v>
      </c>
      <c r="R63" s="538"/>
      <c r="S63" s="861"/>
      <c r="T63" s="538"/>
      <c r="U63" s="861"/>
      <c r="V63" s="861"/>
      <c r="W63" s="861"/>
      <c r="X63" s="538">
        <f>SUM(X64:X71)</f>
        <v>108</v>
      </c>
      <c r="Y63" s="937">
        <f>SUM(Y64:Y71)</f>
        <v>105138</v>
      </c>
      <c r="Z63" s="864">
        <f t="shared" si="14"/>
        <v>35.880398671096344</v>
      </c>
      <c r="AA63" s="865">
        <f t="shared" si="19"/>
        <v>21.83324680718513</v>
      </c>
      <c r="AB63" s="586"/>
      <c r="AC63" s="665"/>
      <c r="AD63" s="668"/>
      <c r="AE63" s="541"/>
      <c r="AF63" s="534"/>
    </row>
    <row r="64" spans="1:40" ht="59.25" customHeight="1" x14ac:dyDescent="0.25">
      <c r="A64" s="7">
        <v>18</v>
      </c>
      <c r="B64" s="688" t="s">
        <v>544</v>
      </c>
      <c r="C64" s="381" t="s">
        <v>163</v>
      </c>
      <c r="D64" s="6" t="s">
        <v>67</v>
      </c>
      <c r="E64" s="619" t="s">
        <v>482</v>
      </c>
      <c r="F64" s="609" t="s">
        <v>112</v>
      </c>
      <c r="G64" s="418">
        <v>255</v>
      </c>
      <c r="H64" s="431">
        <v>1500000</v>
      </c>
      <c r="I64" s="418">
        <f>50+106+116+124</f>
        <v>396</v>
      </c>
      <c r="J64" s="431">
        <f>276975+407424+296676+163810.189</f>
        <v>1144885.189</v>
      </c>
      <c r="K64" s="28">
        <v>55</v>
      </c>
      <c r="L64" s="68">
        <v>47000</v>
      </c>
      <c r="M64" s="56">
        <v>55</v>
      </c>
      <c r="N64" s="68">
        <v>47000</v>
      </c>
      <c r="O64" s="66"/>
      <c r="P64" s="19">
        <v>10</v>
      </c>
      <c r="Q64" s="68">
        <v>0</v>
      </c>
      <c r="R64" s="805"/>
      <c r="S64" s="284"/>
      <c r="T64" s="19"/>
      <c r="U64" s="68"/>
      <c r="V64" s="56"/>
      <c r="W64" s="23"/>
      <c r="X64" s="28">
        <f t="shared" si="1"/>
        <v>10</v>
      </c>
      <c r="Y64" s="808">
        <f t="shared" si="1"/>
        <v>0</v>
      </c>
      <c r="Z64" s="410">
        <f t="shared" si="14"/>
        <v>18.181818181818183</v>
      </c>
      <c r="AA64" s="29">
        <f t="shared" si="19"/>
        <v>0</v>
      </c>
      <c r="AB64" s="455">
        <f>I64+X64</f>
        <v>406</v>
      </c>
      <c r="AC64" s="431">
        <f>Y64+J64</f>
        <v>1144885.189</v>
      </c>
      <c r="AD64" s="419">
        <f t="shared" ref="AD64:AE66" si="21">AB64/G64*100</f>
        <v>159.21568627450981</v>
      </c>
      <c r="AE64" s="419">
        <f t="shared" si="21"/>
        <v>76.325679266666668</v>
      </c>
      <c r="AF64" s="7"/>
      <c r="AG64" s="53">
        <f>5100000/850000</f>
        <v>6</v>
      </c>
    </row>
    <row r="65" spans="1:40" ht="57.75" customHeight="1" x14ac:dyDescent="0.25">
      <c r="A65" s="47">
        <v>19</v>
      </c>
      <c r="B65" s="688" t="s">
        <v>545</v>
      </c>
      <c r="C65" s="826"/>
      <c r="D65" s="14" t="s">
        <v>68</v>
      </c>
      <c r="E65" s="4" t="s">
        <v>483</v>
      </c>
      <c r="F65" s="7" t="s">
        <v>101</v>
      </c>
      <c r="G65" s="593"/>
      <c r="H65" s="595"/>
      <c r="I65" s="593"/>
      <c r="J65" s="595"/>
      <c r="K65" s="55">
        <v>46</v>
      </c>
      <c r="L65" s="589">
        <v>104750</v>
      </c>
      <c r="M65" s="55">
        <v>46</v>
      </c>
      <c r="N65" s="589">
        <v>104750</v>
      </c>
      <c r="O65" s="506"/>
      <c r="P65" s="55">
        <v>46</v>
      </c>
      <c r="Q65" s="589">
        <v>104679</v>
      </c>
      <c r="R65" s="733"/>
      <c r="S65" s="810"/>
      <c r="T65" s="55"/>
      <c r="U65" s="67"/>
      <c r="V65" s="55"/>
      <c r="W65" s="67"/>
      <c r="X65" s="55">
        <f t="shared" si="1"/>
        <v>46</v>
      </c>
      <c r="Y65" s="589">
        <f t="shared" si="1"/>
        <v>104679</v>
      </c>
      <c r="Z65" s="590">
        <f t="shared" si="14"/>
        <v>100</v>
      </c>
      <c r="AA65" s="29">
        <f t="shared" si="19"/>
        <v>99.932219570405721</v>
      </c>
      <c r="AB65" s="601">
        <f>I65+X65</f>
        <v>46</v>
      </c>
      <c r="AC65" s="595">
        <f>Y65+J65</f>
        <v>104679</v>
      </c>
      <c r="AD65" s="842" t="e">
        <f t="shared" si="21"/>
        <v>#DIV/0!</v>
      </c>
      <c r="AE65" s="597" t="e">
        <f t="shared" si="21"/>
        <v>#DIV/0!</v>
      </c>
      <c r="AF65" s="47"/>
    </row>
    <row r="66" spans="1:40" ht="48.75" customHeight="1" x14ac:dyDescent="0.25">
      <c r="A66" s="7">
        <v>20</v>
      </c>
      <c r="B66" s="688" t="s">
        <v>546</v>
      </c>
      <c r="C66" s="382"/>
      <c r="D66" s="6" t="s">
        <v>69</v>
      </c>
      <c r="E66" s="4" t="s">
        <v>484</v>
      </c>
      <c r="F66" s="7" t="s">
        <v>112</v>
      </c>
      <c r="G66" s="418"/>
      <c r="H66" s="431"/>
      <c r="I66" s="418">
        <f>200+0+0+0</f>
        <v>200</v>
      </c>
      <c r="J66" s="431">
        <f>42002</f>
        <v>42002</v>
      </c>
      <c r="K66" s="19">
        <v>65</v>
      </c>
      <c r="L66" s="68">
        <v>90000</v>
      </c>
      <c r="M66" s="19">
        <v>65</v>
      </c>
      <c r="N66" s="68">
        <v>90000</v>
      </c>
      <c r="O66" s="9"/>
      <c r="P66" s="19">
        <f>2+4+5+3</f>
        <v>14</v>
      </c>
      <c r="Q66" s="68">
        <v>459</v>
      </c>
      <c r="R66" s="805"/>
      <c r="S66" s="284"/>
      <c r="T66" s="19"/>
      <c r="U66" s="9"/>
      <c r="V66" s="19"/>
      <c r="W66" s="9"/>
      <c r="X66" s="19">
        <f t="shared" si="1"/>
        <v>14</v>
      </c>
      <c r="Y66" s="68">
        <f t="shared" si="1"/>
        <v>459</v>
      </c>
      <c r="Z66" s="410">
        <f t="shared" si="14"/>
        <v>21.53846153846154</v>
      </c>
      <c r="AA66" s="29">
        <f t="shared" si="19"/>
        <v>0.51</v>
      </c>
      <c r="AB66" s="455">
        <f>I66+X66</f>
        <v>214</v>
      </c>
      <c r="AC66" s="431">
        <f>Y66+J66</f>
        <v>42461</v>
      </c>
      <c r="AD66" s="433" t="e">
        <f t="shared" si="21"/>
        <v>#DIV/0!</v>
      </c>
      <c r="AE66" s="419" t="e">
        <f t="shared" si="21"/>
        <v>#DIV/0!</v>
      </c>
      <c r="AF66" s="7"/>
    </row>
    <row r="67" spans="1:40" ht="42.75" hidden="1" customHeight="1" x14ac:dyDescent="0.25">
      <c r="A67" s="46"/>
      <c r="B67" s="480" t="s">
        <v>546</v>
      </c>
      <c r="C67" s="460" t="s">
        <v>160</v>
      </c>
      <c r="D67" s="956"/>
      <c r="E67" s="472"/>
      <c r="F67" s="957"/>
      <c r="G67" s="604"/>
      <c r="H67" s="684"/>
      <c r="I67" s="604"/>
      <c r="J67" s="684"/>
      <c r="K67" s="908"/>
      <c r="L67" s="893"/>
      <c r="M67" s="459"/>
      <c r="N67" s="594"/>
      <c r="O67" s="960"/>
      <c r="P67" s="459"/>
      <c r="Q67" s="594"/>
      <c r="R67" s="753"/>
      <c r="S67" s="754"/>
      <c r="T67" s="459"/>
      <c r="U67" s="69"/>
      <c r="V67" s="459"/>
      <c r="W67" s="69"/>
      <c r="X67" s="459"/>
      <c r="Y67" s="594"/>
      <c r="Z67" s="641"/>
      <c r="AA67" s="664" t="e">
        <f t="shared" si="19"/>
        <v>#DIV/0!</v>
      </c>
      <c r="AB67" s="839"/>
      <c r="AC67" s="684"/>
      <c r="AD67" s="841"/>
      <c r="AE67" s="841"/>
      <c r="AF67" s="46"/>
    </row>
    <row r="68" spans="1:40" ht="78" customHeight="1" x14ac:dyDescent="0.25">
      <c r="A68" s="609">
        <v>21</v>
      </c>
      <c r="B68" s="978" t="s">
        <v>547</v>
      </c>
      <c r="C68" s="827" t="s">
        <v>25</v>
      </c>
      <c r="D68" s="618" t="s">
        <v>70</v>
      </c>
      <c r="E68" s="473" t="s">
        <v>134</v>
      </c>
      <c r="F68" s="334" t="s">
        <v>112</v>
      </c>
      <c r="G68" s="626">
        <v>6</v>
      </c>
      <c r="H68" s="627">
        <v>535000</v>
      </c>
      <c r="I68" s="626">
        <v>4</v>
      </c>
      <c r="J68" s="627">
        <f>91128+52904+70000+79766.95</f>
        <v>293798.95</v>
      </c>
      <c r="K68" s="582">
        <v>10</v>
      </c>
      <c r="L68" s="893">
        <v>26800</v>
      </c>
      <c r="M68" s="55">
        <v>10</v>
      </c>
      <c r="N68" s="589">
        <v>20000</v>
      </c>
      <c r="O68" s="918"/>
      <c r="P68" s="622">
        <v>0</v>
      </c>
      <c r="Q68" s="659">
        <v>0</v>
      </c>
      <c r="R68" s="721"/>
      <c r="S68" s="725"/>
      <c r="T68" s="622"/>
      <c r="U68" s="624"/>
      <c r="V68" s="622"/>
      <c r="W68" s="623"/>
      <c r="X68" s="622">
        <f t="shared" si="1"/>
        <v>0</v>
      </c>
      <c r="Y68" s="659">
        <f t="shared" si="1"/>
        <v>0</v>
      </c>
      <c r="Z68" s="961">
        <f>X68/M68*100</f>
        <v>0</v>
      </c>
      <c r="AA68" s="664">
        <f t="shared" si="19"/>
        <v>0</v>
      </c>
      <c r="AB68" s="652">
        <f>I68+X68</f>
        <v>4</v>
      </c>
      <c r="AC68" s="627">
        <f>Y68+J68</f>
        <v>293798.95</v>
      </c>
      <c r="AD68" s="628">
        <f t="shared" ref="AD68:AE71" si="22">AB68/G68*100</f>
        <v>66.666666666666657</v>
      </c>
      <c r="AE68" s="628">
        <f t="shared" si="22"/>
        <v>54.915691588785052</v>
      </c>
      <c r="AF68" s="965"/>
      <c r="AG68" s="53" t="s">
        <v>418</v>
      </c>
    </row>
    <row r="69" spans="1:40" ht="57.75" customHeight="1" x14ac:dyDescent="0.25">
      <c r="A69" s="611"/>
      <c r="B69" s="486"/>
      <c r="C69" s="613"/>
      <c r="D69" s="904"/>
      <c r="E69" s="473" t="s">
        <v>485</v>
      </c>
      <c r="F69" s="958" t="s">
        <v>112</v>
      </c>
      <c r="G69" s="593">
        <v>125</v>
      </c>
      <c r="H69" s="595">
        <v>355000</v>
      </c>
      <c r="I69" s="593"/>
      <c r="J69" s="595"/>
      <c r="K69" s="909">
        <v>35</v>
      </c>
      <c r="L69" s="589"/>
      <c r="M69" s="909">
        <v>35</v>
      </c>
      <c r="N69" s="944">
        <v>6800</v>
      </c>
      <c r="O69" s="654"/>
      <c r="P69" s="55">
        <v>0</v>
      </c>
      <c r="Q69" s="589"/>
      <c r="R69" s="733"/>
      <c r="S69" s="606"/>
      <c r="T69" s="55"/>
      <c r="U69" s="67"/>
      <c r="V69" s="55"/>
      <c r="W69" s="67"/>
      <c r="X69" s="593">
        <f>P69+R69+T69+V69</f>
        <v>0</v>
      </c>
      <c r="Y69" s="595">
        <f>Q69+S69+U69+W69</f>
        <v>0</v>
      </c>
      <c r="Z69" s="962">
        <f>X69/M69*100</f>
        <v>0</v>
      </c>
      <c r="AA69" s="654"/>
      <c r="AB69" s="601">
        <f>I69+X69</f>
        <v>0</v>
      </c>
      <c r="AC69" s="595">
        <f>Y69+J69</f>
        <v>0</v>
      </c>
      <c r="AD69" s="597">
        <f t="shared" si="22"/>
        <v>0</v>
      </c>
      <c r="AE69" s="597">
        <f t="shared" si="22"/>
        <v>0</v>
      </c>
      <c r="AF69" s="966"/>
    </row>
    <row r="70" spans="1:40" ht="50.25" customHeight="1" x14ac:dyDescent="0.25">
      <c r="A70" s="482">
        <v>22</v>
      </c>
      <c r="B70" s="490" t="s">
        <v>548</v>
      </c>
      <c r="C70" s="828"/>
      <c r="D70" s="44" t="s">
        <v>71</v>
      </c>
      <c r="E70" s="471" t="s">
        <v>136</v>
      </c>
      <c r="F70" s="333" t="s">
        <v>112</v>
      </c>
      <c r="G70" s="626"/>
      <c r="H70" s="627"/>
      <c r="I70" s="626"/>
      <c r="J70" s="627"/>
      <c r="K70" s="582">
        <v>30</v>
      </c>
      <c r="L70" s="594">
        <v>213000</v>
      </c>
      <c r="M70" s="582">
        <v>30</v>
      </c>
      <c r="N70" s="944">
        <v>13000</v>
      </c>
      <c r="O70" s="654"/>
      <c r="P70" s="622">
        <f>4+3+6</f>
        <v>13</v>
      </c>
      <c r="Q70" s="659">
        <v>0</v>
      </c>
      <c r="R70" s="721"/>
      <c r="S70" s="963"/>
      <c r="T70" s="622"/>
      <c r="U70" s="659"/>
      <c r="V70" s="622"/>
      <c r="W70" s="943"/>
      <c r="X70" s="622">
        <f t="shared" si="1"/>
        <v>13</v>
      </c>
      <c r="Y70" s="964">
        <f t="shared" si="1"/>
        <v>0</v>
      </c>
      <c r="Z70" s="663">
        <f>X71/(M70+M71)*100</f>
        <v>27.777777777777779</v>
      </c>
      <c r="AA70" s="58">
        <f>Y70/N70*100</f>
        <v>0</v>
      </c>
      <c r="AB70" s="924">
        <f>I70+X70</f>
        <v>13</v>
      </c>
      <c r="AC70" s="627">
        <f>Y70+J70</f>
        <v>0</v>
      </c>
      <c r="AD70" s="628" t="e">
        <f t="shared" si="22"/>
        <v>#DIV/0!</v>
      </c>
      <c r="AE70" s="628" t="e">
        <f t="shared" si="22"/>
        <v>#DIV/0!</v>
      </c>
      <c r="AF70" s="482"/>
    </row>
    <row r="71" spans="1:40" ht="50.25" customHeight="1" x14ac:dyDescent="0.25">
      <c r="A71" s="482"/>
      <c r="B71" s="491"/>
      <c r="C71" s="615"/>
      <c r="D71" s="14"/>
      <c r="E71" s="619" t="s">
        <v>137</v>
      </c>
      <c r="F71" s="609" t="s">
        <v>112</v>
      </c>
      <c r="G71" s="626"/>
      <c r="H71" s="627"/>
      <c r="I71" s="626"/>
      <c r="J71" s="627"/>
      <c r="K71" s="908">
        <v>60</v>
      </c>
      <c r="L71" s="589"/>
      <c r="M71" s="908">
        <v>60</v>
      </c>
      <c r="N71" s="893">
        <v>200000</v>
      </c>
      <c r="O71" s="580"/>
      <c r="P71" s="622">
        <f>3+5+17</f>
        <v>25</v>
      </c>
      <c r="Q71" s="659"/>
      <c r="R71" s="721"/>
      <c r="S71" s="725"/>
      <c r="T71" s="622"/>
      <c r="U71" s="624"/>
      <c r="V71" s="622"/>
      <c r="W71" s="662"/>
      <c r="X71" s="733">
        <f t="shared" si="1"/>
        <v>25</v>
      </c>
      <c r="Y71" s="894">
        <f t="shared" si="1"/>
        <v>0</v>
      </c>
      <c r="Z71" s="752">
        <f>X71/M71*100</f>
        <v>41.666666666666671</v>
      </c>
      <c r="AA71" s="493"/>
      <c r="AB71" s="924">
        <f>I71+X71</f>
        <v>25</v>
      </c>
      <c r="AC71" s="627">
        <f>Y71+J71</f>
        <v>0</v>
      </c>
      <c r="AD71" s="628" t="e">
        <f t="shared" si="22"/>
        <v>#DIV/0!</v>
      </c>
      <c r="AE71" s="628" t="e">
        <f t="shared" si="22"/>
        <v>#DIV/0!</v>
      </c>
      <c r="AF71" s="482"/>
    </row>
    <row r="72" spans="1:40" s="376" customFormat="1" ht="83.25" customHeight="1" x14ac:dyDescent="0.25">
      <c r="A72" s="52"/>
      <c r="B72" s="991" t="s">
        <v>549</v>
      </c>
      <c r="C72" s="509" t="s">
        <v>158</v>
      </c>
      <c r="D72" s="838" t="s">
        <v>72</v>
      </c>
      <c r="E72" s="852" t="s">
        <v>448</v>
      </c>
      <c r="F72" s="100" t="s">
        <v>441</v>
      </c>
      <c r="G72" s="853"/>
      <c r="H72" s="931"/>
      <c r="I72" s="853"/>
      <c r="J72" s="931"/>
      <c r="K72" s="103">
        <f t="shared" ref="K72:Q72" si="23">SUM(K73:K78)</f>
        <v>308</v>
      </c>
      <c r="L72" s="939">
        <f t="shared" si="23"/>
        <v>232600</v>
      </c>
      <c r="M72" s="103">
        <f t="shared" si="23"/>
        <v>308</v>
      </c>
      <c r="N72" s="945">
        <f t="shared" si="23"/>
        <v>231162.5</v>
      </c>
      <c r="O72" s="866">
        <f t="shared" si="23"/>
        <v>0</v>
      </c>
      <c r="P72" s="103">
        <f t="shared" si="23"/>
        <v>40</v>
      </c>
      <c r="Q72" s="945">
        <f t="shared" si="23"/>
        <v>22320</v>
      </c>
      <c r="R72" s="103"/>
      <c r="S72" s="867"/>
      <c r="T72" s="103"/>
      <c r="U72" s="866"/>
      <c r="V72" s="103"/>
      <c r="W72" s="892"/>
      <c r="X72" s="126">
        <f>SUM(X73:X78)</f>
        <v>40</v>
      </c>
      <c r="Y72" s="945">
        <f>SUM(Y73:Y78)</f>
        <v>22320</v>
      </c>
      <c r="Z72" s="858">
        <f>X72/M72*100</f>
        <v>12.987012987012985</v>
      </c>
      <c r="AA72" s="925">
        <f>Y72/N72*100</f>
        <v>9.6555453414805612</v>
      </c>
      <c r="AB72" s="856"/>
      <c r="AC72" s="951"/>
      <c r="AD72" s="855"/>
      <c r="AE72" s="858"/>
      <c r="AF72" s="100"/>
    </row>
    <row r="73" spans="1:40" ht="45" customHeight="1" x14ac:dyDescent="0.25">
      <c r="A73" s="47">
        <v>23</v>
      </c>
      <c r="B73" s="489" t="s">
        <v>550</v>
      </c>
      <c r="C73" s="614" t="s">
        <v>23</v>
      </c>
      <c r="D73" s="804" t="s">
        <v>67</v>
      </c>
      <c r="E73" s="473" t="s">
        <v>138</v>
      </c>
      <c r="F73" s="47" t="s">
        <v>112</v>
      </c>
      <c r="G73" s="418">
        <v>215</v>
      </c>
      <c r="H73" s="431">
        <v>1375500</v>
      </c>
      <c r="I73" s="418">
        <f>12+50+29+13</f>
        <v>104</v>
      </c>
      <c r="J73" s="431">
        <f>256450+256848+243547+146639.6</f>
        <v>903484.6</v>
      </c>
      <c r="K73" s="55">
        <v>40</v>
      </c>
      <c r="L73" s="589">
        <v>35000</v>
      </c>
      <c r="M73" s="55">
        <v>40</v>
      </c>
      <c r="N73" s="589">
        <v>35000</v>
      </c>
      <c r="O73" s="67"/>
      <c r="P73" s="55">
        <f>4+13</f>
        <v>17</v>
      </c>
      <c r="Q73" s="589">
        <v>6720</v>
      </c>
      <c r="R73" s="733"/>
      <c r="S73" s="810"/>
      <c r="T73" s="55"/>
      <c r="U73" s="506"/>
      <c r="V73" s="55"/>
      <c r="W73" s="506"/>
      <c r="X73" s="55">
        <f t="shared" ref="X73:Y91" si="24">P73+R73+T73+V73</f>
        <v>17</v>
      </c>
      <c r="Y73" s="589">
        <f t="shared" si="24"/>
        <v>6720</v>
      </c>
      <c r="Z73" s="590">
        <f>X73/M73*100</f>
        <v>42.5</v>
      </c>
      <c r="AA73" s="29">
        <f>Y73/N73*100</f>
        <v>19.2</v>
      </c>
      <c r="AB73" s="601">
        <f>I73+X73</f>
        <v>121</v>
      </c>
      <c r="AC73" s="595">
        <f>Y73+J73</f>
        <v>910204.6</v>
      </c>
      <c r="AD73" s="597">
        <f>AB73/G73*100</f>
        <v>56.279069767441861</v>
      </c>
      <c r="AE73" s="597">
        <f>AC73/H73*100</f>
        <v>66.172635405307162</v>
      </c>
      <c r="AF73" s="47"/>
    </row>
    <row r="74" spans="1:40" ht="42.75" customHeight="1" x14ac:dyDescent="0.25">
      <c r="A74" s="610">
        <v>24</v>
      </c>
      <c r="B74" s="489" t="s">
        <v>551</v>
      </c>
      <c r="C74" s="615"/>
      <c r="D74" s="13" t="s">
        <v>73</v>
      </c>
      <c r="E74" s="710" t="s">
        <v>139</v>
      </c>
      <c r="F74" s="610" t="s">
        <v>112</v>
      </c>
      <c r="G74" s="593"/>
      <c r="H74" s="595"/>
      <c r="I74" s="593"/>
      <c r="J74" s="595"/>
      <c r="K74" s="672">
        <v>40</v>
      </c>
      <c r="L74" s="659">
        <v>6000</v>
      </c>
      <c r="M74" s="622">
        <v>40</v>
      </c>
      <c r="N74" s="659">
        <v>6000</v>
      </c>
      <c r="O74" s="624"/>
      <c r="P74" s="622">
        <f>4+13</f>
        <v>17</v>
      </c>
      <c r="Q74" s="659">
        <v>0</v>
      </c>
      <c r="R74" s="721"/>
      <c r="S74" s="725"/>
      <c r="T74" s="622"/>
      <c r="U74" s="624"/>
      <c r="V74" s="622"/>
      <c r="W74" s="623"/>
      <c r="X74" s="622">
        <f t="shared" si="24"/>
        <v>17</v>
      </c>
      <c r="Y74" s="659">
        <f t="shared" si="24"/>
        <v>0</v>
      </c>
      <c r="Z74" s="660">
        <f>X74/M74*100</f>
        <v>42.5</v>
      </c>
      <c r="AA74" s="29">
        <f>Y74/N74*100</f>
        <v>0</v>
      </c>
      <c r="AB74" s="652">
        <f>I74+X74</f>
        <v>17</v>
      </c>
      <c r="AC74" s="627">
        <f>Y74+J74</f>
        <v>0</v>
      </c>
      <c r="AD74" s="850" t="e">
        <f>AB74/G74*100</f>
        <v>#DIV/0!</v>
      </c>
      <c r="AE74" s="628" t="e">
        <f>AC74/H74*100</f>
        <v>#DIV/0!</v>
      </c>
      <c r="AF74" s="482"/>
    </row>
    <row r="75" spans="1:40" ht="70.5" hidden="1" customHeight="1" x14ac:dyDescent="0.25">
      <c r="A75" s="46"/>
      <c r="B75" s="489" t="s">
        <v>552</v>
      </c>
      <c r="C75" s="913" t="s">
        <v>157</v>
      </c>
      <c r="D75" s="698"/>
      <c r="E75" s="472"/>
      <c r="F75" s="609"/>
      <c r="G75" s="626"/>
      <c r="H75" s="627"/>
      <c r="I75" s="626"/>
      <c r="J75" s="627"/>
      <c r="K75" s="908"/>
      <c r="L75" s="594"/>
      <c r="M75" s="620"/>
      <c r="N75" s="942"/>
      <c r="O75" s="692"/>
      <c r="P75" s="459"/>
      <c r="Q75" s="594"/>
      <c r="R75" s="753"/>
      <c r="S75" s="754"/>
      <c r="T75" s="459"/>
      <c r="U75" s="69"/>
      <c r="V75" s="504"/>
      <c r="W75" s="69"/>
      <c r="X75" s="756"/>
      <c r="Y75" s="594"/>
      <c r="Z75" s="596"/>
      <c r="AA75" s="57" t="e">
        <f>Y75/N75*100</f>
        <v>#DIV/0!</v>
      </c>
      <c r="AB75" s="839"/>
      <c r="AC75" s="684">
        <f>Y75+J75</f>
        <v>0</v>
      </c>
      <c r="AD75" s="841"/>
      <c r="AE75" s="841"/>
      <c r="AF75" s="46"/>
    </row>
    <row r="76" spans="1:40" ht="48" customHeight="1" x14ac:dyDescent="0.25">
      <c r="A76" s="609">
        <v>25</v>
      </c>
      <c r="B76" s="487" t="s">
        <v>553</v>
      </c>
      <c r="C76" s="485" t="s">
        <v>164</v>
      </c>
      <c r="D76" s="980" t="s">
        <v>70</v>
      </c>
      <c r="E76" s="18" t="s">
        <v>140</v>
      </c>
      <c r="F76" s="333" t="s">
        <v>112</v>
      </c>
      <c r="G76" s="604">
        <v>324</v>
      </c>
      <c r="H76" s="684">
        <v>1055000</v>
      </c>
      <c r="I76" s="604">
        <f>60+100+160+210</f>
        <v>530</v>
      </c>
      <c r="J76" s="684">
        <f>82031+130850+407400+810819.1</f>
        <v>1431100.1</v>
      </c>
      <c r="K76" s="582">
        <v>20</v>
      </c>
      <c r="L76" s="594">
        <v>161600</v>
      </c>
      <c r="M76" s="28">
        <v>20</v>
      </c>
      <c r="N76" s="68">
        <v>30562.6</v>
      </c>
      <c r="O76" s="914"/>
      <c r="P76" s="459">
        <v>0</v>
      </c>
      <c r="Q76" s="594">
        <v>15600</v>
      </c>
      <c r="R76" s="753"/>
      <c r="S76" s="757"/>
      <c r="T76" s="459"/>
      <c r="U76" s="69"/>
      <c r="V76" s="504"/>
      <c r="W76" s="492"/>
      <c r="X76" s="620">
        <f t="shared" si="24"/>
        <v>0</v>
      </c>
      <c r="Y76" s="594">
        <f t="shared" si="24"/>
        <v>15600</v>
      </c>
      <c r="Z76" s="663">
        <f t="shared" ref="Z76:Z92" si="25">X76/M76*100</f>
        <v>0</v>
      </c>
      <c r="AA76" s="57">
        <f>Y76/N76*100</f>
        <v>51.042777774142259</v>
      </c>
      <c r="AB76" s="922">
        <f>I76+X76</f>
        <v>530</v>
      </c>
      <c r="AC76" s="594"/>
      <c r="AD76" s="841">
        <f t="shared" ref="AD76:AE79" si="26">AB76/G76*100</f>
        <v>163.58024691358025</v>
      </c>
      <c r="AE76" s="841">
        <f t="shared" si="26"/>
        <v>0</v>
      </c>
      <c r="AF76" s="46"/>
    </row>
    <row r="77" spans="1:40" ht="34.5" customHeight="1" x14ac:dyDescent="0.25">
      <c r="A77" s="611"/>
      <c r="B77" s="486"/>
      <c r="C77" s="478"/>
      <c r="D77" s="14"/>
      <c r="E77" s="18" t="s">
        <v>141</v>
      </c>
      <c r="F77" s="333" t="s">
        <v>112</v>
      </c>
      <c r="G77" s="593"/>
      <c r="H77" s="595"/>
      <c r="I77" s="593"/>
      <c r="J77" s="595"/>
      <c r="K77" s="582">
        <v>8</v>
      </c>
      <c r="L77" s="589"/>
      <c r="M77" s="582">
        <v>8</v>
      </c>
      <c r="N77" s="944">
        <v>129599.9</v>
      </c>
      <c r="O77" s="884"/>
      <c r="P77" s="733">
        <v>6</v>
      </c>
      <c r="Q77" s="936"/>
      <c r="R77" s="733"/>
      <c r="S77" s="606"/>
      <c r="T77" s="733"/>
      <c r="U77" s="606"/>
      <c r="V77" s="734"/>
      <c r="W77" s="606"/>
      <c r="X77" s="874">
        <v>6</v>
      </c>
      <c r="Y77" s="595">
        <f t="shared" si="24"/>
        <v>0</v>
      </c>
      <c r="Z77" s="912">
        <f t="shared" si="25"/>
        <v>75</v>
      </c>
      <c r="AA77" s="493"/>
      <c r="AB77" s="923">
        <f>I77+X77</f>
        <v>6</v>
      </c>
      <c r="AC77" s="595">
        <f>Y77+J77</f>
        <v>0</v>
      </c>
      <c r="AD77" s="597" t="e">
        <f t="shared" si="26"/>
        <v>#DIV/0!</v>
      </c>
      <c r="AE77" s="597" t="e">
        <f t="shared" si="26"/>
        <v>#DIV/0!</v>
      </c>
      <c r="AF77" s="47"/>
    </row>
    <row r="78" spans="1:40" ht="72" customHeight="1" x14ac:dyDescent="0.25">
      <c r="A78" s="47">
        <v>26</v>
      </c>
      <c r="B78" s="490" t="s">
        <v>554</v>
      </c>
      <c r="C78" s="484"/>
      <c r="D78" s="14" t="s">
        <v>74</v>
      </c>
      <c r="E78" s="4" t="s">
        <v>486</v>
      </c>
      <c r="F78" s="7" t="s">
        <v>112</v>
      </c>
      <c r="G78" s="593"/>
      <c r="H78" s="595"/>
      <c r="I78" s="593"/>
      <c r="J78" s="595"/>
      <c r="K78" s="19">
        <v>200</v>
      </c>
      <c r="L78" s="589">
        <v>30000</v>
      </c>
      <c r="M78" s="19">
        <v>200</v>
      </c>
      <c r="N78" s="589">
        <v>30000</v>
      </c>
      <c r="O78" s="67"/>
      <c r="P78" s="55">
        <v>0</v>
      </c>
      <c r="Q78" s="589">
        <v>0</v>
      </c>
      <c r="R78" s="733"/>
      <c r="S78" s="606"/>
      <c r="T78" s="55"/>
      <c r="U78" s="67"/>
      <c r="V78" s="55"/>
      <c r="W78" s="67"/>
      <c r="X78" s="55">
        <f t="shared" si="24"/>
        <v>0</v>
      </c>
      <c r="Y78" s="589">
        <f t="shared" si="24"/>
        <v>0</v>
      </c>
      <c r="Z78" s="590">
        <f t="shared" si="25"/>
        <v>0</v>
      </c>
      <c r="AA78" s="493">
        <f t="shared" ref="AA78:AA93" si="27">Y78/N78*100</f>
        <v>0</v>
      </c>
      <c r="AB78" s="601">
        <f>I78+X78</f>
        <v>0</v>
      </c>
      <c r="AC78" s="595">
        <f>Y78+J78</f>
        <v>0</v>
      </c>
      <c r="AD78" s="842" t="e">
        <f t="shared" si="26"/>
        <v>#DIV/0!</v>
      </c>
      <c r="AE78" s="597" t="e">
        <f t="shared" si="26"/>
        <v>#DIV/0!</v>
      </c>
      <c r="AF78" s="47"/>
    </row>
    <row r="79" spans="1:40" s="376" customFormat="1" ht="33" customHeight="1" x14ac:dyDescent="0.25">
      <c r="A79" s="553" t="s">
        <v>7</v>
      </c>
      <c r="B79" s="992">
        <v>4.5891203703703705E-2</v>
      </c>
      <c r="C79" s="824" t="s">
        <v>159</v>
      </c>
      <c r="D79" s="463" t="s">
        <v>76</v>
      </c>
      <c r="E79" s="576" t="s">
        <v>149</v>
      </c>
      <c r="F79" s="555" t="s">
        <v>93</v>
      </c>
      <c r="G79" s="556">
        <v>1.01</v>
      </c>
      <c r="H79" s="562">
        <v>903200</v>
      </c>
      <c r="I79" s="558">
        <f>'[4]TW IV FIX'!$AB$92</f>
        <v>1.06</v>
      </c>
      <c r="J79" s="562">
        <f>'[4]TW IV FIX'!$AC$92</f>
        <v>536078.35</v>
      </c>
      <c r="K79" s="556">
        <v>1.01</v>
      </c>
      <c r="L79" s="562">
        <f>SUM(L81:L83)</f>
        <v>148207</v>
      </c>
      <c r="M79" s="556">
        <v>1.01</v>
      </c>
      <c r="N79" s="562">
        <f>SUM(N81:N83)</f>
        <v>148207</v>
      </c>
      <c r="O79" s="559">
        <f>SUM(O81:O83)</f>
        <v>0</v>
      </c>
      <c r="P79" s="815">
        <f>I79+0.03</f>
        <v>1.0900000000000001</v>
      </c>
      <c r="Q79" s="574">
        <f>Q80</f>
        <v>0</v>
      </c>
      <c r="R79" s="570"/>
      <c r="S79" s="836"/>
      <c r="T79" s="570"/>
      <c r="U79" s="836"/>
      <c r="V79" s="570"/>
      <c r="W79" s="836"/>
      <c r="X79" s="570">
        <f>P79+R79+T79+V79</f>
        <v>1.0900000000000001</v>
      </c>
      <c r="Y79" s="574">
        <f>Q79+S79+U79+W79</f>
        <v>0</v>
      </c>
      <c r="Z79" s="815">
        <f t="shared" si="25"/>
        <v>107.92079207920793</v>
      </c>
      <c r="AA79" s="559">
        <f t="shared" si="27"/>
        <v>0</v>
      </c>
      <c r="AB79" s="815">
        <f>+X79</f>
        <v>1.0900000000000001</v>
      </c>
      <c r="AC79" s="574">
        <f>Y79+J79</f>
        <v>536078.35</v>
      </c>
      <c r="AD79" s="896">
        <f t="shared" si="26"/>
        <v>107.92079207920793</v>
      </c>
      <c r="AE79" s="815">
        <f t="shared" si="26"/>
        <v>59.353227413640383</v>
      </c>
      <c r="AF79" s="898"/>
    </row>
    <row r="80" spans="1:40" ht="43.5" customHeight="1" x14ac:dyDescent="0.25">
      <c r="A80" s="510"/>
      <c r="B80" s="549" t="s">
        <v>555</v>
      </c>
      <c r="C80" s="829"/>
      <c r="D80" s="551" t="s">
        <v>77</v>
      </c>
      <c r="E80" s="512" t="s">
        <v>445</v>
      </c>
      <c r="F80" s="531" t="s">
        <v>441</v>
      </c>
      <c r="G80" s="675"/>
      <c r="H80" s="932"/>
      <c r="I80" s="675"/>
      <c r="J80" s="932"/>
      <c r="K80" s="540">
        <f>SUM(K81:K83)</f>
        <v>115</v>
      </c>
      <c r="L80" s="933">
        <f>SUM(L81:L83)</f>
        <v>148207</v>
      </c>
      <c r="M80" s="540">
        <f>SUM(M81:M83)</f>
        <v>115</v>
      </c>
      <c r="N80" s="933">
        <f>SUM(N81:N83)</f>
        <v>148207</v>
      </c>
      <c r="O80" s="869">
        <f>SUM(O81:O83)</f>
        <v>0</v>
      </c>
      <c r="P80" s="540">
        <v>19</v>
      </c>
      <c r="Q80" s="584">
        <f>SUM(Q81:Q83)</f>
        <v>0</v>
      </c>
      <c r="R80" s="540"/>
      <c r="S80" s="868"/>
      <c r="T80" s="540"/>
      <c r="U80" s="875"/>
      <c r="V80" s="540"/>
      <c r="W80" s="540"/>
      <c r="X80" s="540">
        <f>SUM(X81:X83)</f>
        <v>19</v>
      </c>
      <c r="Y80" s="933">
        <f>SUM(Y81:Y83)</f>
        <v>0</v>
      </c>
      <c r="Z80" s="585">
        <f t="shared" si="25"/>
        <v>16.521739130434781</v>
      </c>
      <c r="AA80" s="865">
        <f t="shared" si="27"/>
        <v>0</v>
      </c>
      <c r="AB80" s="523"/>
      <c r="AC80" s="543"/>
      <c r="AD80" s="525"/>
      <c r="AE80" s="521"/>
      <c r="AF80" s="510"/>
      <c r="AN80" s="953">
        <f>19/66610*100</f>
        <v>2.8524245608767453E-2</v>
      </c>
    </row>
    <row r="81" spans="1:32" ht="39" customHeight="1" x14ac:dyDescent="0.25">
      <c r="A81" s="333">
        <v>27</v>
      </c>
      <c r="B81" s="48" t="s">
        <v>556</v>
      </c>
      <c r="C81" s="614" t="s">
        <v>193</v>
      </c>
      <c r="D81" s="6" t="s">
        <v>78</v>
      </c>
      <c r="E81" s="4" t="s">
        <v>150</v>
      </c>
      <c r="F81" s="333" t="s">
        <v>112</v>
      </c>
      <c r="G81" s="418">
        <v>585</v>
      </c>
      <c r="H81" s="431">
        <v>703200</v>
      </c>
      <c r="I81" s="418">
        <f>36+86+98+0</f>
        <v>220</v>
      </c>
      <c r="J81" s="431">
        <f>62767+142804+152090+0</f>
        <v>357661</v>
      </c>
      <c r="K81" s="19">
        <v>55</v>
      </c>
      <c r="L81" s="68">
        <v>21541</v>
      </c>
      <c r="M81" s="28">
        <v>55</v>
      </c>
      <c r="N81" s="68">
        <v>21541</v>
      </c>
      <c r="O81" s="9"/>
      <c r="P81" s="19">
        <f>0+11+8</f>
        <v>19</v>
      </c>
      <c r="Q81" s="68">
        <v>0</v>
      </c>
      <c r="R81" s="805"/>
      <c r="S81" s="284"/>
      <c r="T81" s="19"/>
      <c r="U81" s="9"/>
      <c r="V81" s="19"/>
      <c r="W81" s="9"/>
      <c r="X81" s="19">
        <f t="shared" si="24"/>
        <v>19</v>
      </c>
      <c r="Y81" s="68">
        <f t="shared" si="24"/>
        <v>0</v>
      </c>
      <c r="Z81" s="410">
        <f t="shared" si="25"/>
        <v>34.545454545454547</v>
      </c>
      <c r="AA81" s="29">
        <f t="shared" si="27"/>
        <v>0</v>
      </c>
      <c r="AB81" s="455">
        <f>I81+X81</f>
        <v>239</v>
      </c>
      <c r="AC81" s="431">
        <f>Y81+J81</f>
        <v>357661</v>
      </c>
      <c r="AD81" s="433">
        <f t="shared" ref="AD81:AE84" si="28">AB81/G81*100</f>
        <v>40.854700854700852</v>
      </c>
      <c r="AE81" s="419">
        <f t="shared" si="28"/>
        <v>50.861916951080779</v>
      </c>
      <c r="AF81" s="7"/>
    </row>
    <row r="82" spans="1:32" ht="33.75" customHeight="1" x14ac:dyDescent="0.25">
      <c r="A82" s="333">
        <v>28</v>
      </c>
      <c r="B82" s="48" t="s">
        <v>557</v>
      </c>
      <c r="C82" s="613"/>
      <c r="D82" s="6" t="s">
        <v>79</v>
      </c>
      <c r="E82" s="4" t="s">
        <v>151</v>
      </c>
      <c r="F82" s="333" t="s">
        <v>112</v>
      </c>
      <c r="G82" s="372"/>
      <c r="H82" s="422"/>
      <c r="I82" s="372"/>
      <c r="J82" s="422"/>
      <c r="K82" s="19">
        <v>30</v>
      </c>
      <c r="L82" s="68">
        <v>11666</v>
      </c>
      <c r="M82" s="28">
        <v>30</v>
      </c>
      <c r="N82" s="68">
        <v>11666</v>
      </c>
      <c r="O82" s="9"/>
      <c r="P82" s="19">
        <f>0+0</f>
        <v>0</v>
      </c>
      <c r="Q82" s="68">
        <v>0</v>
      </c>
      <c r="R82" s="805"/>
      <c r="S82" s="76"/>
      <c r="T82" s="19"/>
      <c r="U82" s="9"/>
      <c r="V82" s="19"/>
      <c r="W82" s="9"/>
      <c r="X82" s="19">
        <f t="shared" si="24"/>
        <v>0</v>
      </c>
      <c r="Y82" s="68">
        <f t="shared" si="24"/>
        <v>0</v>
      </c>
      <c r="Z82" s="410">
        <f t="shared" si="25"/>
        <v>0</v>
      </c>
      <c r="AA82" s="29">
        <f t="shared" si="27"/>
        <v>0</v>
      </c>
      <c r="AB82" s="455">
        <f>I82+X82</f>
        <v>0</v>
      </c>
      <c r="AC82" s="431">
        <f>Y82+J82</f>
        <v>0</v>
      </c>
      <c r="AD82" s="433" t="e">
        <f t="shared" si="28"/>
        <v>#DIV/0!</v>
      </c>
      <c r="AE82" s="419" t="e">
        <f t="shared" si="28"/>
        <v>#DIV/0!</v>
      </c>
      <c r="AF82" s="7"/>
    </row>
    <row r="83" spans="1:32" ht="46.5" customHeight="1" x14ac:dyDescent="0.25">
      <c r="A83" s="333">
        <v>29</v>
      </c>
      <c r="B83" s="48" t="s">
        <v>558</v>
      </c>
      <c r="C83" s="615"/>
      <c r="D83" s="6" t="s">
        <v>80</v>
      </c>
      <c r="E83" s="4" t="s">
        <v>152</v>
      </c>
      <c r="F83" s="333" t="s">
        <v>112</v>
      </c>
      <c r="G83" s="372"/>
      <c r="H83" s="422"/>
      <c r="I83" s="372"/>
      <c r="J83" s="422"/>
      <c r="K83" s="19">
        <v>30</v>
      </c>
      <c r="L83" s="68">
        <v>115000</v>
      </c>
      <c r="M83" s="28">
        <v>30</v>
      </c>
      <c r="N83" s="68">
        <v>115000</v>
      </c>
      <c r="O83" s="29"/>
      <c r="P83" s="19">
        <f>0+0</f>
        <v>0</v>
      </c>
      <c r="Q83" s="68">
        <v>0</v>
      </c>
      <c r="R83" s="805"/>
      <c r="S83" s="284"/>
      <c r="T83" s="19"/>
      <c r="U83" s="9"/>
      <c r="V83" s="19"/>
      <c r="W83" s="29"/>
      <c r="X83" s="19">
        <f t="shared" si="24"/>
        <v>0</v>
      </c>
      <c r="Y83" s="68">
        <f t="shared" si="24"/>
        <v>0</v>
      </c>
      <c r="Z83" s="410">
        <f t="shared" si="25"/>
        <v>0</v>
      </c>
      <c r="AA83" s="29">
        <f t="shared" si="27"/>
        <v>0</v>
      </c>
      <c r="AB83" s="455">
        <f>I83+X83</f>
        <v>0</v>
      </c>
      <c r="AC83" s="431">
        <f>Y83+J83</f>
        <v>0</v>
      </c>
      <c r="AD83" s="433" t="e">
        <f t="shared" si="28"/>
        <v>#DIV/0!</v>
      </c>
      <c r="AE83" s="419" t="e">
        <f t="shared" si="28"/>
        <v>#DIV/0!</v>
      </c>
      <c r="AF83" s="7"/>
    </row>
    <row r="84" spans="1:32" s="376" customFormat="1" ht="45.75" customHeight="1" x14ac:dyDescent="0.25">
      <c r="A84" s="553"/>
      <c r="B84" s="993">
        <v>4.5891203703703705E-2</v>
      </c>
      <c r="C84" s="830" t="s">
        <v>158</v>
      </c>
      <c r="D84" s="463" t="s">
        <v>76</v>
      </c>
      <c r="E84" s="576" t="s">
        <v>198</v>
      </c>
      <c r="F84" s="555" t="s">
        <v>93</v>
      </c>
      <c r="G84" s="678">
        <v>0.33</v>
      </c>
      <c r="H84" s="761">
        <v>8250500</v>
      </c>
      <c r="I84" s="644">
        <f>'[4]TW IV FIX'!$AB$97</f>
        <v>0.39</v>
      </c>
      <c r="J84" s="761">
        <f>'[4]TW IV FIX'!$AC$97</f>
        <v>1808914</v>
      </c>
      <c r="K84" s="678">
        <v>0.33</v>
      </c>
      <c r="L84" s="761">
        <f>L85</f>
        <v>374699.9</v>
      </c>
      <c r="M84" s="556">
        <v>0.33</v>
      </c>
      <c r="N84" s="562">
        <f>N85</f>
        <v>372612.4</v>
      </c>
      <c r="O84" s="559">
        <f>SUM(O86:O87)</f>
        <v>0</v>
      </c>
      <c r="P84" s="558">
        <v>0.39</v>
      </c>
      <c r="Q84" s="562">
        <v>0</v>
      </c>
      <c r="R84" s="570"/>
      <c r="S84" s="568"/>
      <c r="T84" s="570"/>
      <c r="U84" s="568"/>
      <c r="V84" s="570"/>
      <c r="W84" s="568"/>
      <c r="X84" s="559">
        <f>P84+R84+T84+V84</f>
        <v>0.39</v>
      </c>
      <c r="Y84" s="562">
        <f>Q84+S84+U84+W84</f>
        <v>0</v>
      </c>
      <c r="Z84" s="558">
        <f t="shared" si="25"/>
        <v>118.18181818181819</v>
      </c>
      <c r="AA84" s="559">
        <f t="shared" si="27"/>
        <v>0</v>
      </c>
      <c r="AB84" s="558">
        <v>0.39</v>
      </c>
      <c r="AC84" s="562">
        <f>Y84+J84</f>
        <v>1808914</v>
      </c>
      <c r="AD84" s="573">
        <f t="shared" si="28"/>
        <v>118.18181818181819</v>
      </c>
      <c r="AE84" s="558">
        <f t="shared" si="28"/>
        <v>21.924901521119931</v>
      </c>
      <c r="AF84" s="555"/>
    </row>
    <row r="85" spans="1:32" ht="53.25" customHeight="1" x14ac:dyDescent="0.25">
      <c r="A85" s="510"/>
      <c r="B85" s="994" t="s">
        <v>559</v>
      </c>
      <c r="C85" s="547"/>
      <c r="D85" s="513" t="s">
        <v>81</v>
      </c>
      <c r="E85" s="512" t="s">
        <v>446</v>
      </c>
      <c r="F85" s="531" t="s">
        <v>95</v>
      </c>
      <c r="G85" s="516"/>
      <c r="H85" s="517"/>
      <c r="I85" s="516"/>
      <c r="J85" s="517"/>
      <c r="K85" s="538">
        <f>SUM(K86:K87)</f>
        <v>27</v>
      </c>
      <c r="L85" s="937">
        <f>SUM(L86:L88)</f>
        <v>374699.9</v>
      </c>
      <c r="M85" s="538">
        <v>75</v>
      </c>
      <c r="N85" s="937">
        <f>SUM(N86:N88)</f>
        <v>372612.4</v>
      </c>
      <c r="O85" s="862">
        <f>SUM(O86:O87)</f>
        <v>0</v>
      </c>
      <c r="P85" s="538">
        <v>3</v>
      </c>
      <c r="Q85" s="937">
        <f>SUM(Q87:Q88)</f>
        <v>0</v>
      </c>
      <c r="R85" s="538"/>
      <c r="S85" s="860"/>
      <c r="T85" s="860"/>
      <c r="U85" s="860"/>
      <c r="V85" s="860"/>
      <c r="W85" s="860"/>
      <c r="X85" s="538">
        <f>SUM(X86:X87)</f>
        <v>3</v>
      </c>
      <c r="Y85" s="937">
        <f>SUM(Y87:Y88)</f>
        <v>0</v>
      </c>
      <c r="Z85" s="544">
        <f t="shared" si="25"/>
        <v>4</v>
      </c>
      <c r="AA85" s="539">
        <f t="shared" si="27"/>
        <v>0</v>
      </c>
      <c r="AB85" s="523"/>
      <c r="AC85" s="519"/>
      <c r="AD85" s="525"/>
      <c r="AE85" s="521"/>
      <c r="AF85" s="510"/>
    </row>
    <row r="86" spans="1:32" ht="48" hidden="1" customHeight="1" x14ac:dyDescent="0.25">
      <c r="A86" s="7"/>
      <c r="B86" s="995"/>
      <c r="C86" s="381" t="s">
        <v>259</v>
      </c>
      <c r="D86" s="6" t="s">
        <v>82</v>
      </c>
      <c r="E86" s="4" t="s">
        <v>153</v>
      </c>
      <c r="F86" s="7" t="s">
        <v>95</v>
      </c>
      <c r="G86" s="418">
        <v>5</v>
      </c>
      <c r="H86" s="431">
        <v>350000</v>
      </c>
      <c r="I86" s="418">
        <v>4</v>
      </c>
      <c r="J86" s="431">
        <f>124885+45579+0+4700</f>
        <v>175164</v>
      </c>
      <c r="K86" s="19">
        <v>2</v>
      </c>
      <c r="L86" s="68">
        <v>0</v>
      </c>
      <c r="M86" s="19">
        <v>0</v>
      </c>
      <c r="N86" s="68">
        <v>0</v>
      </c>
      <c r="O86" s="9"/>
      <c r="P86" s="19">
        <v>0</v>
      </c>
      <c r="Q86" s="68"/>
      <c r="R86" s="805"/>
      <c r="S86" s="284"/>
      <c r="T86" s="19"/>
      <c r="U86" s="9"/>
      <c r="V86" s="19"/>
      <c r="W86" s="23"/>
      <c r="X86" s="19">
        <f t="shared" si="24"/>
        <v>0</v>
      </c>
      <c r="Y86" s="68">
        <f t="shared" si="24"/>
        <v>0</v>
      </c>
      <c r="Z86" s="410" t="e">
        <f t="shared" si="25"/>
        <v>#DIV/0!</v>
      </c>
      <c r="AA86" s="921" t="e">
        <f t="shared" si="27"/>
        <v>#DIV/0!</v>
      </c>
      <c r="AB86" s="455">
        <f>I86+X86</f>
        <v>4</v>
      </c>
      <c r="AC86" s="431">
        <f>Y86+J86</f>
        <v>175164</v>
      </c>
      <c r="AD86" s="433">
        <f>AB86/G86*100</f>
        <v>80</v>
      </c>
      <c r="AE86" s="419">
        <f>AC86/H86*100</f>
        <v>50.046857142857135</v>
      </c>
      <c r="AF86" s="7"/>
    </row>
    <row r="87" spans="1:32" ht="51.75" customHeight="1" x14ac:dyDescent="0.25">
      <c r="A87" s="7">
        <v>30</v>
      </c>
      <c r="B87" s="995" t="s">
        <v>560</v>
      </c>
      <c r="C87" s="381" t="s">
        <v>262</v>
      </c>
      <c r="D87" s="6" t="s">
        <v>81</v>
      </c>
      <c r="E87" s="4" t="s">
        <v>154</v>
      </c>
      <c r="F87" s="15" t="s">
        <v>95</v>
      </c>
      <c r="G87" s="418">
        <v>5</v>
      </c>
      <c r="H87" s="431">
        <v>1775000</v>
      </c>
      <c r="I87" s="418">
        <v>4</v>
      </c>
      <c r="J87" s="431">
        <f>0+1566990+0+0</f>
        <v>1566990</v>
      </c>
      <c r="K87" s="19">
        <v>25</v>
      </c>
      <c r="L87" s="68">
        <v>150000</v>
      </c>
      <c r="M87" s="19">
        <v>25</v>
      </c>
      <c r="N87" s="68">
        <v>147912.5</v>
      </c>
      <c r="O87" s="29"/>
      <c r="P87" s="19">
        <v>3</v>
      </c>
      <c r="Q87" s="68">
        <v>0</v>
      </c>
      <c r="R87" s="805"/>
      <c r="S87" s="284"/>
      <c r="T87" s="19"/>
      <c r="U87" s="9"/>
      <c r="V87" s="19"/>
      <c r="W87" s="9"/>
      <c r="X87" s="19">
        <f t="shared" si="24"/>
        <v>3</v>
      </c>
      <c r="Y87" s="68">
        <f t="shared" si="24"/>
        <v>0</v>
      </c>
      <c r="Z87" s="410">
        <f t="shared" si="25"/>
        <v>12</v>
      </c>
      <c r="AA87" s="29">
        <f t="shared" si="27"/>
        <v>0</v>
      </c>
      <c r="AB87" s="455">
        <f>I87+X87</f>
        <v>7</v>
      </c>
      <c r="AC87" s="431">
        <f>Y87+J87</f>
        <v>1566990</v>
      </c>
      <c r="AD87" s="433">
        <f>AB87/G87*100</f>
        <v>140</v>
      </c>
      <c r="AE87" s="419">
        <f>AC87/H87*100</f>
        <v>88.281126760563382</v>
      </c>
      <c r="AF87" s="7"/>
    </row>
    <row r="88" spans="1:32" ht="51.75" customHeight="1" x14ac:dyDescent="0.25">
      <c r="A88" s="7">
        <v>31</v>
      </c>
      <c r="B88" s="995" t="s">
        <v>561</v>
      </c>
      <c r="C88" s="381"/>
      <c r="D88" s="6" t="s">
        <v>487</v>
      </c>
      <c r="E88" s="4" t="s">
        <v>488</v>
      </c>
      <c r="F88" s="15" t="s">
        <v>112</v>
      </c>
      <c r="G88" s="418"/>
      <c r="H88" s="431"/>
      <c r="I88" s="418"/>
      <c r="J88" s="431"/>
      <c r="K88" s="19">
        <v>100</v>
      </c>
      <c r="L88" s="68">
        <v>224699.9</v>
      </c>
      <c r="M88" s="19">
        <v>50</v>
      </c>
      <c r="N88" s="68">
        <v>224699.9</v>
      </c>
      <c r="O88" s="29"/>
      <c r="P88" s="19">
        <v>0</v>
      </c>
      <c r="Q88" s="68">
        <v>0</v>
      </c>
      <c r="R88" s="805"/>
      <c r="S88" s="284"/>
      <c r="T88" s="19"/>
      <c r="U88" s="9"/>
      <c r="V88" s="19"/>
      <c r="W88" s="9"/>
      <c r="X88" s="19">
        <f>P88+R88+T88+V88</f>
        <v>0</v>
      </c>
      <c r="Y88" s="68">
        <f>Q88+S88+U88+W88</f>
        <v>0</v>
      </c>
      <c r="Z88" s="410">
        <f t="shared" si="25"/>
        <v>0</v>
      </c>
      <c r="AA88" s="29">
        <f t="shared" si="27"/>
        <v>0</v>
      </c>
      <c r="AB88" s="455"/>
      <c r="AC88" s="431"/>
      <c r="AD88" s="433"/>
      <c r="AE88" s="419"/>
      <c r="AF88" s="7"/>
    </row>
    <row r="89" spans="1:32" s="376" customFormat="1" ht="48" customHeight="1" x14ac:dyDescent="0.25">
      <c r="A89" s="553" t="s">
        <v>426</v>
      </c>
      <c r="B89" s="992">
        <v>4.5902777777777772E-2</v>
      </c>
      <c r="C89" s="824" t="s">
        <v>158</v>
      </c>
      <c r="D89" s="463" t="s">
        <v>83</v>
      </c>
      <c r="E89" s="554" t="s">
        <v>155</v>
      </c>
      <c r="F89" s="555" t="s">
        <v>93</v>
      </c>
      <c r="G89" s="556">
        <v>100</v>
      </c>
      <c r="H89" s="562">
        <v>1725000</v>
      </c>
      <c r="I89" s="889">
        <v>100</v>
      </c>
      <c r="J89" s="562">
        <f>'[4]TW IV FIX'!$AC$101</f>
        <v>1738459.8659999999</v>
      </c>
      <c r="K89" s="556">
        <v>100</v>
      </c>
      <c r="L89" s="562">
        <f>L90</f>
        <v>479999.75</v>
      </c>
      <c r="M89" s="556">
        <v>100</v>
      </c>
      <c r="N89" s="562">
        <f>N90</f>
        <v>479999.75</v>
      </c>
      <c r="O89" s="557">
        <f>SUM(O91)</f>
        <v>0</v>
      </c>
      <c r="P89" s="928">
        <v>25</v>
      </c>
      <c r="Q89" s="562">
        <v>0</v>
      </c>
      <c r="R89" s="815"/>
      <c r="S89" s="568"/>
      <c r="T89" s="568"/>
      <c r="U89" s="568"/>
      <c r="V89" s="568"/>
      <c r="W89" s="568"/>
      <c r="X89" s="889">
        <f>P89+R89+T89+V89</f>
        <v>25</v>
      </c>
      <c r="Y89" s="562">
        <f>SUM(Y91)</f>
        <v>0</v>
      </c>
      <c r="Z89" s="579">
        <f t="shared" si="25"/>
        <v>25</v>
      </c>
      <c r="AA89" s="559">
        <f t="shared" si="27"/>
        <v>0</v>
      </c>
      <c r="AB89" s="572">
        <v>100</v>
      </c>
      <c r="AC89" s="562">
        <f>Y89+J89</f>
        <v>1738459.8659999999</v>
      </c>
      <c r="AD89" s="573">
        <f>AB89/G89*100</f>
        <v>100</v>
      </c>
      <c r="AE89" s="558">
        <f>AC89/H89*100</f>
        <v>100.7802820869565</v>
      </c>
      <c r="AF89" s="555"/>
    </row>
    <row r="90" spans="1:32" ht="58.5" customHeight="1" x14ac:dyDescent="0.25">
      <c r="A90" s="510"/>
      <c r="B90" s="552" t="s">
        <v>562</v>
      </c>
      <c r="C90" s="547"/>
      <c r="D90" s="513" t="s">
        <v>84</v>
      </c>
      <c r="E90" s="512" t="s">
        <v>447</v>
      </c>
      <c r="F90" s="531" t="s">
        <v>441</v>
      </c>
      <c r="G90" s="516"/>
      <c r="H90" s="517"/>
      <c r="I90" s="516"/>
      <c r="J90" s="517"/>
      <c r="K90" s="538">
        <v>1000</v>
      </c>
      <c r="L90" s="937">
        <f>L91+L92</f>
        <v>479999.75</v>
      </c>
      <c r="M90" s="538">
        <v>1040</v>
      </c>
      <c r="N90" s="937">
        <f>N91+N92</f>
        <v>479999.75</v>
      </c>
      <c r="O90" s="860">
        <f>SUM(O91)</f>
        <v>0</v>
      </c>
      <c r="P90" s="538">
        <f>828+36+1308+12+132</f>
        <v>2316</v>
      </c>
      <c r="Q90" s="543">
        <f>SUM(Q91:Q92)</f>
        <v>0</v>
      </c>
      <c r="R90" s="538"/>
      <c r="S90" s="860"/>
      <c r="T90" s="538"/>
      <c r="U90" s="538"/>
      <c r="V90" s="538"/>
      <c r="W90" s="538"/>
      <c r="X90" s="538">
        <f>P90+R90+T90+V90</f>
        <v>2316</v>
      </c>
      <c r="Y90" s="937">
        <f>SUM(Y91:Y92)</f>
        <v>0</v>
      </c>
      <c r="Z90" s="544">
        <f t="shared" si="25"/>
        <v>222.69230769230771</v>
      </c>
      <c r="AA90" s="865">
        <f t="shared" si="27"/>
        <v>0</v>
      </c>
      <c r="AB90" s="521"/>
      <c r="AC90" s="543"/>
      <c r="AD90" s="521"/>
      <c r="AE90" s="521"/>
      <c r="AF90" s="510"/>
    </row>
    <row r="91" spans="1:32" ht="72" customHeight="1" x14ac:dyDescent="0.25">
      <c r="A91" s="7">
        <v>32</v>
      </c>
      <c r="B91" s="48" t="s">
        <v>563</v>
      </c>
      <c r="C91" s="381" t="s">
        <v>194</v>
      </c>
      <c r="D91" s="6" t="s">
        <v>85</v>
      </c>
      <c r="E91" s="4" t="s">
        <v>156</v>
      </c>
      <c r="F91" s="7" t="s">
        <v>147</v>
      </c>
      <c r="G91" s="418">
        <v>3650</v>
      </c>
      <c r="H91" s="431">
        <v>1725000</v>
      </c>
      <c r="I91" s="418">
        <f>100+500+1740+1298</f>
        <v>3638</v>
      </c>
      <c r="J91" s="431">
        <f>127526+117784+399610+757874.866</f>
        <v>1402794.8659999999</v>
      </c>
      <c r="K91" s="19">
        <v>1000</v>
      </c>
      <c r="L91" s="68">
        <v>400000</v>
      </c>
      <c r="M91" s="19">
        <v>1000</v>
      </c>
      <c r="N91" s="68">
        <v>400000</v>
      </c>
      <c r="O91" s="9"/>
      <c r="P91" s="19">
        <f>69+3+109+1+11</f>
        <v>193</v>
      </c>
      <c r="Q91" s="68">
        <v>0</v>
      </c>
      <c r="R91" s="805"/>
      <c r="S91" s="284"/>
      <c r="T91" s="19"/>
      <c r="U91" s="9"/>
      <c r="V91" s="19"/>
      <c r="W91" s="9"/>
      <c r="X91" s="19">
        <f t="shared" si="24"/>
        <v>193</v>
      </c>
      <c r="Y91" s="68">
        <f t="shared" si="24"/>
        <v>0</v>
      </c>
      <c r="Z91" s="410">
        <f t="shared" si="25"/>
        <v>19.3</v>
      </c>
      <c r="AA91" s="29">
        <f t="shared" si="27"/>
        <v>0</v>
      </c>
      <c r="AB91" s="455">
        <f>I91+X91</f>
        <v>3831</v>
      </c>
      <c r="AC91" s="834">
        <f>Y91+J91</f>
        <v>1402794.8659999999</v>
      </c>
      <c r="AD91" s="419">
        <f>AB91/G91*100</f>
        <v>104.95890410958904</v>
      </c>
      <c r="AE91" s="419">
        <f>AC91/H91*100</f>
        <v>81.321441507246377</v>
      </c>
      <c r="AF91" s="7"/>
    </row>
    <row r="92" spans="1:32" ht="72" customHeight="1" x14ac:dyDescent="0.25">
      <c r="A92" s="333">
        <v>33</v>
      </c>
      <c r="B92" s="48" t="s">
        <v>564</v>
      </c>
      <c r="C92" s="380"/>
      <c r="D92" s="6" t="s">
        <v>467</v>
      </c>
      <c r="E92" s="4" t="s">
        <v>489</v>
      </c>
      <c r="F92" s="7" t="s">
        <v>112</v>
      </c>
      <c r="G92" s="418"/>
      <c r="H92" s="431"/>
      <c r="I92" s="418"/>
      <c r="J92" s="431"/>
      <c r="K92" s="19">
        <v>40</v>
      </c>
      <c r="L92" s="68">
        <v>79999.75</v>
      </c>
      <c r="M92" s="19">
        <v>40</v>
      </c>
      <c r="N92" s="68">
        <v>79999.75</v>
      </c>
      <c r="O92" s="9"/>
      <c r="P92" s="19">
        <v>0</v>
      </c>
      <c r="Q92" s="68">
        <v>0</v>
      </c>
      <c r="R92" s="805"/>
      <c r="S92" s="284"/>
      <c r="T92" s="19"/>
      <c r="U92" s="9"/>
      <c r="V92" s="19"/>
      <c r="W92" s="9"/>
      <c r="X92" s="19">
        <f>P92+R92+T92+V92</f>
        <v>0</v>
      </c>
      <c r="Y92" s="68">
        <f>Q92+S92+U92+W92</f>
        <v>0</v>
      </c>
      <c r="Z92" s="410">
        <f t="shared" si="25"/>
        <v>0</v>
      </c>
      <c r="AA92" s="29">
        <f t="shared" si="27"/>
        <v>0</v>
      </c>
      <c r="AB92" s="455"/>
      <c r="AC92" s="834"/>
      <c r="AD92" s="419"/>
      <c r="AE92" s="419"/>
      <c r="AF92" s="7"/>
    </row>
    <row r="93" spans="1:32" ht="30" customHeight="1" x14ac:dyDescent="0.25">
      <c r="A93" s="788" t="s">
        <v>434</v>
      </c>
      <c r="B93" s="789"/>
      <c r="C93" s="831"/>
      <c r="D93" s="800"/>
      <c r="E93" s="801"/>
      <c r="F93" s="321"/>
      <c r="G93" s="802"/>
      <c r="H93" s="323">
        <f>H9+H14+H17+H22+H32+H41+H42+H43+H60+H61+H62+H79+H84+H89</f>
        <v>32512950</v>
      </c>
      <c r="I93" s="323"/>
      <c r="J93" s="323">
        <f t="shared" ref="J93:O93" si="29">J9+J14+J17+J22+J32+J41+J42+J43+J60+J61+J62+J79+J84+J89</f>
        <v>28308870.340000004</v>
      </c>
      <c r="K93" s="323"/>
      <c r="L93" s="323">
        <f t="shared" si="29"/>
        <v>8481871.3100000005</v>
      </c>
      <c r="M93" s="323"/>
      <c r="N93" s="323">
        <f t="shared" si="29"/>
        <v>7871278.2760000005</v>
      </c>
      <c r="O93" s="323" t="e">
        <f t="shared" si="29"/>
        <v>#REF!</v>
      </c>
      <c r="P93" s="323"/>
      <c r="Q93" s="323">
        <f>Q10+Q15+Q23+Q29+Q37+Q44+Q63+Q72+Q80+Q85+Q90</f>
        <v>939110.96600000001</v>
      </c>
      <c r="R93" s="323"/>
      <c r="S93" s="323"/>
      <c r="T93" s="323"/>
      <c r="U93" s="323"/>
      <c r="V93" s="323"/>
      <c r="W93" s="323"/>
      <c r="X93" s="323"/>
      <c r="Y93" s="323">
        <f>Y10+Y15+Y23+Y29+Y37+Y44+Y63+Y72+Y80+Y85+Y90</f>
        <v>939110.96600000001</v>
      </c>
      <c r="Z93" s="323"/>
      <c r="AA93" s="921">
        <f t="shared" si="27"/>
        <v>11.930857137441141</v>
      </c>
      <c r="AB93" s="323"/>
      <c r="AC93" s="323">
        <f>Y93+J93</f>
        <v>29247981.306000002</v>
      </c>
      <c r="AD93" s="324"/>
      <c r="AE93" s="324"/>
      <c r="AF93" s="324"/>
    </row>
    <row r="94" spans="1:32" ht="30" customHeight="1" x14ac:dyDescent="0.25">
      <c r="A94" s="790" t="s">
        <v>405</v>
      </c>
      <c r="B94" s="376"/>
      <c r="C94" s="827"/>
      <c r="D94" s="618"/>
      <c r="E94" s="16"/>
      <c r="G94" s="782"/>
      <c r="H94" s="651"/>
      <c r="I94" s="782"/>
      <c r="J94" s="783"/>
      <c r="L94" s="10"/>
      <c r="N94" s="10"/>
      <c r="O94" s="10"/>
      <c r="Q94" s="784"/>
      <c r="R94" s="782"/>
      <c r="S94" s="785"/>
      <c r="X94" s="895"/>
      <c r="Y94" s="803">
        <f>Y93/N93</f>
        <v>0.11930857137441141</v>
      </c>
      <c r="Z94" s="786"/>
      <c r="AA94" s="31"/>
      <c r="AB94" s="787"/>
      <c r="AC94" s="74"/>
      <c r="AD94" s="786"/>
      <c r="AE94" s="786"/>
      <c r="AF94" s="658"/>
    </row>
    <row r="95" spans="1:32" ht="38.25" customHeight="1" x14ac:dyDescent="0.25">
      <c r="A95" s="1072" t="s">
        <v>498</v>
      </c>
      <c r="B95" s="1073"/>
      <c r="C95" s="1074"/>
      <c r="D95" s="981" t="s">
        <v>501</v>
      </c>
      <c r="E95" s="917"/>
      <c r="F95" s="915"/>
      <c r="G95" s="915"/>
      <c r="H95" s="915"/>
      <c r="I95" s="915"/>
      <c r="J95" s="915"/>
      <c r="K95" s="915"/>
      <c r="L95" s="915"/>
      <c r="M95" s="915"/>
      <c r="N95" s="915"/>
      <c r="O95" s="915"/>
      <c r="P95" s="915"/>
      <c r="Q95" s="915"/>
      <c r="R95" s="915"/>
      <c r="S95" s="915"/>
      <c r="T95" s="915"/>
      <c r="U95" s="915"/>
      <c r="V95" s="915"/>
      <c r="W95" s="915"/>
      <c r="X95" s="915"/>
      <c r="Y95" s="915"/>
      <c r="Z95" s="915"/>
      <c r="AA95" s="915"/>
      <c r="AB95" s="915"/>
      <c r="AC95" s="915"/>
      <c r="AD95" s="915"/>
      <c r="AE95" s="915"/>
      <c r="AF95" s="916"/>
    </row>
    <row r="96" spans="1:32" ht="42.75" customHeight="1" x14ac:dyDescent="0.25">
      <c r="A96" s="1072" t="s">
        <v>497</v>
      </c>
      <c r="B96" s="1073"/>
      <c r="C96" s="1074"/>
      <c r="D96" s="982" t="s">
        <v>504</v>
      </c>
      <c r="E96" s="917"/>
      <c r="F96" s="915"/>
      <c r="G96" s="915"/>
      <c r="H96" s="915"/>
      <c r="I96" s="915"/>
      <c r="J96" s="915"/>
      <c r="K96" s="915"/>
      <c r="L96" s="915"/>
      <c r="M96" s="915"/>
      <c r="N96" s="915"/>
      <c r="O96" s="915"/>
      <c r="P96" s="915"/>
      <c r="Q96" s="915"/>
      <c r="R96" s="915"/>
      <c r="S96" s="915"/>
      <c r="T96" s="915"/>
      <c r="U96" s="915"/>
      <c r="V96" s="915"/>
      <c r="W96" s="915"/>
      <c r="X96" s="915"/>
      <c r="Y96" s="915"/>
      <c r="Z96" s="915"/>
      <c r="AA96" s="915"/>
      <c r="AB96" s="915"/>
      <c r="AC96" s="915"/>
      <c r="AD96" s="915"/>
      <c r="AE96" s="915"/>
      <c r="AF96" s="916"/>
    </row>
    <row r="97" spans="1:32" ht="50.25" customHeight="1" x14ac:dyDescent="0.25">
      <c r="A97" s="1072" t="s">
        <v>499</v>
      </c>
      <c r="B97" s="1073"/>
      <c r="C97" s="1074"/>
      <c r="D97" s="983" t="s">
        <v>502</v>
      </c>
      <c r="E97" s="917"/>
      <c r="F97" s="915"/>
      <c r="G97" s="915"/>
      <c r="H97" s="915"/>
      <c r="I97" s="915"/>
      <c r="J97" s="915"/>
      <c r="K97" s="915"/>
      <c r="L97" s="915"/>
      <c r="M97" s="915"/>
      <c r="N97" s="915"/>
      <c r="O97" s="915"/>
      <c r="P97" s="915"/>
      <c r="Q97" s="915"/>
      <c r="R97" s="915"/>
      <c r="S97" s="915"/>
      <c r="T97" s="915"/>
      <c r="U97" s="915"/>
      <c r="V97" s="915"/>
      <c r="W97" s="915"/>
      <c r="X97" s="915"/>
      <c r="Y97" s="915"/>
      <c r="Z97" s="915"/>
      <c r="AA97" s="915"/>
      <c r="AB97" s="915"/>
      <c r="AC97" s="915"/>
      <c r="AD97" s="915"/>
      <c r="AE97" s="915"/>
      <c r="AF97" s="916"/>
    </row>
    <row r="98" spans="1:32" ht="56.25" customHeight="1" x14ac:dyDescent="0.25">
      <c r="A98" s="1072" t="s">
        <v>500</v>
      </c>
      <c r="B98" s="1073"/>
      <c r="C98" s="1074"/>
      <c r="D98" s="983" t="s">
        <v>503</v>
      </c>
      <c r="E98" s="917"/>
      <c r="F98" s="915"/>
      <c r="G98" s="915"/>
      <c r="H98" s="915"/>
      <c r="I98" s="915"/>
      <c r="J98" s="915"/>
      <c r="K98" s="915"/>
      <c r="L98" s="915"/>
      <c r="M98" s="915"/>
      <c r="N98" s="915"/>
      <c r="O98" s="915"/>
      <c r="P98" s="915"/>
      <c r="Q98" s="915"/>
      <c r="R98" s="915"/>
      <c r="S98" s="915"/>
      <c r="T98" s="915"/>
      <c r="U98" s="915"/>
      <c r="V98" s="915"/>
      <c r="W98" s="915"/>
      <c r="X98" s="915"/>
      <c r="Y98" s="915"/>
      <c r="Z98" s="915"/>
      <c r="AA98" s="915"/>
      <c r="AB98" s="915"/>
      <c r="AC98" s="915"/>
      <c r="AD98" s="915"/>
      <c r="AE98" s="915"/>
      <c r="AF98" s="916"/>
    </row>
    <row r="99" spans="1:32" ht="18" customHeight="1" x14ac:dyDescent="0.25">
      <c r="A99" s="458"/>
      <c r="B99" s="376"/>
      <c r="C99" s="827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</row>
    <row r="100" spans="1:32" ht="20.100000000000001" customHeight="1" x14ac:dyDescent="0.25">
      <c r="A100" s="458"/>
      <c r="B100" s="376"/>
      <c r="C100" s="827"/>
      <c r="D100" s="26"/>
      <c r="E100" s="26"/>
      <c r="F100" s="26"/>
      <c r="G100" s="1071" t="s">
        <v>508</v>
      </c>
      <c r="H100" s="1071"/>
      <c r="I100" s="1071"/>
      <c r="J100" s="1071"/>
      <c r="K100" s="1071"/>
      <c r="L100" s="1071"/>
      <c r="M100" s="1071"/>
      <c r="N100" s="1071"/>
      <c r="O100" s="954"/>
      <c r="P100" s="954"/>
      <c r="Q100" s="954"/>
      <c r="R100" s="954"/>
      <c r="S100" s="954"/>
      <c r="T100" s="954"/>
      <c r="U100" s="954"/>
      <c r="V100" s="954"/>
      <c r="W100" s="954"/>
      <c r="X100" s="954"/>
      <c r="Y100" s="1071" t="s">
        <v>510</v>
      </c>
      <c r="Z100" s="1071"/>
      <c r="AA100" s="1071"/>
      <c r="AB100" s="1071"/>
      <c r="AC100" s="1071"/>
      <c r="AD100" s="1071"/>
      <c r="AE100" s="954"/>
      <c r="AF100" s="26"/>
    </row>
    <row r="101" spans="1:32" ht="20.100000000000001" customHeight="1" x14ac:dyDescent="0.25">
      <c r="A101" s="458"/>
      <c r="B101" s="376"/>
      <c r="C101" s="827"/>
      <c r="D101" s="26"/>
      <c r="E101" s="26"/>
      <c r="F101" s="26"/>
      <c r="G101" s="1071" t="s">
        <v>492</v>
      </c>
      <c r="H101" s="1071"/>
      <c r="I101" s="1071"/>
      <c r="J101" s="1071"/>
      <c r="K101" s="1071"/>
      <c r="L101" s="1071"/>
      <c r="M101" s="1071"/>
      <c r="N101" s="1071"/>
      <c r="O101" s="954"/>
      <c r="P101" s="954"/>
      <c r="Q101" s="954"/>
      <c r="R101" s="954"/>
      <c r="S101" s="954"/>
      <c r="T101" s="954"/>
      <c r="U101" s="954"/>
      <c r="V101" s="954"/>
      <c r="W101" s="954"/>
      <c r="X101" s="1071" t="s">
        <v>492</v>
      </c>
      <c r="Y101" s="1071"/>
      <c r="Z101" s="1071"/>
      <c r="AA101" s="1071"/>
      <c r="AB101" s="1071"/>
      <c r="AC101" s="1071"/>
      <c r="AD101" s="1071"/>
      <c r="AE101" s="1071"/>
      <c r="AF101" s="26"/>
    </row>
    <row r="102" spans="1:32" ht="20.100000000000001" customHeight="1" x14ac:dyDescent="0.25">
      <c r="A102" s="458"/>
      <c r="B102" s="376"/>
      <c r="C102" s="827"/>
      <c r="D102" s="26"/>
      <c r="E102" s="26"/>
      <c r="F102" s="26"/>
      <c r="G102" s="954"/>
      <c r="H102" s="954"/>
      <c r="I102" s="954"/>
      <c r="J102" s="954"/>
      <c r="K102" s="954"/>
      <c r="L102" s="955"/>
      <c r="M102" s="955"/>
      <c r="N102" s="955"/>
      <c r="O102" s="954"/>
      <c r="P102" s="954"/>
      <c r="Q102" s="954"/>
      <c r="R102" s="954"/>
      <c r="S102" s="954"/>
      <c r="T102" s="954"/>
      <c r="U102" s="954"/>
      <c r="V102" s="954"/>
      <c r="W102" s="954"/>
      <c r="X102" s="954"/>
      <c r="Y102" s="954"/>
      <c r="Z102" s="954"/>
      <c r="AA102" s="954"/>
      <c r="AB102" s="954"/>
      <c r="AC102" s="955"/>
      <c r="AD102" s="955"/>
      <c r="AE102" s="955"/>
      <c r="AF102" s="26"/>
    </row>
    <row r="103" spans="1:32" ht="20.100000000000001" customHeight="1" x14ac:dyDescent="0.25">
      <c r="A103" s="458"/>
      <c r="B103" s="376"/>
      <c r="C103" s="827"/>
      <c r="D103" s="26"/>
      <c r="E103" s="26"/>
      <c r="F103" s="26"/>
      <c r="G103" s="1071" t="s">
        <v>458</v>
      </c>
      <c r="H103" s="1071"/>
      <c r="I103" s="1071"/>
      <c r="J103" s="1071"/>
      <c r="K103" s="1071"/>
      <c r="L103" s="1071"/>
      <c r="M103" s="1071"/>
      <c r="N103" s="1071"/>
      <c r="O103" s="954"/>
      <c r="P103" s="954"/>
      <c r="Q103" s="954"/>
      <c r="R103" s="954"/>
      <c r="S103" s="954"/>
      <c r="T103" s="954"/>
      <c r="U103" s="954"/>
      <c r="V103" s="954"/>
      <c r="W103" s="954"/>
      <c r="X103" s="1071" t="s">
        <v>509</v>
      </c>
      <c r="Y103" s="1071"/>
      <c r="Z103" s="1071"/>
      <c r="AA103" s="1071"/>
      <c r="AB103" s="1071"/>
      <c r="AC103" s="1071"/>
      <c r="AD103" s="1071"/>
      <c r="AE103" s="1071"/>
      <c r="AF103" s="26"/>
    </row>
    <row r="104" spans="1:32" ht="20.100000000000001" customHeight="1" x14ac:dyDescent="0.25">
      <c r="A104" s="458"/>
      <c r="B104" s="376"/>
      <c r="C104" s="827"/>
      <c r="D104" s="26"/>
      <c r="E104" s="26"/>
      <c r="F104" s="26"/>
      <c r="G104" s="1071" t="s">
        <v>459</v>
      </c>
      <c r="H104" s="1071"/>
      <c r="I104" s="1071"/>
      <c r="J104" s="1071"/>
      <c r="K104" s="1071"/>
      <c r="L104" s="1071"/>
      <c r="M104" s="1071"/>
      <c r="N104" s="1071"/>
      <c r="O104" s="954"/>
      <c r="P104" s="954"/>
      <c r="Q104" s="954"/>
      <c r="R104" s="954"/>
      <c r="S104" s="954"/>
      <c r="T104" s="954"/>
      <c r="U104" s="954"/>
      <c r="V104" s="954"/>
      <c r="W104" s="954"/>
      <c r="X104" s="1071" t="s">
        <v>459</v>
      </c>
      <c r="Y104" s="1071"/>
      <c r="Z104" s="1071"/>
      <c r="AA104" s="1071"/>
      <c r="AB104" s="1071"/>
      <c r="AC104" s="1071"/>
      <c r="AD104" s="1071"/>
      <c r="AE104" s="1071"/>
      <c r="AF104" s="26"/>
    </row>
    <row r="105" spans="1:32" ht="20.100000000000001" customHeight="1" x14ac:dyDescent="0.25">
      <c r="A105" s="458"/>
      <c r="B105" s="376"/>
      <c r="C105" s="827"/>
      <c r="D105" s="26"/>
      <c r="E105" s="26"/>
      <c r="F105" s="26"/>
      <c r="G105" s="954"/>
      <c r="H105" s="954"/>
      <c r="I105" s="954"/>
      <c r="J105" s="954"/>
      <c r="K105" s="954"/>
      <c r="L105" s="955"/>
      <c r="M105" s="955"/>
      <c r="N105" s="955"/>
      <c r="O105" s="954"/>
      <c r="P105" s="954"/>
      <c r="Q105" s="954"/>
      <c r="R105" s="954"/>
      <c r="S105" s="954"/>
      <c r="T105" s="954"/>
      <c r="U105" s="954"/>
      <c r="V105" s="954"/>
      <c r="W105" s="954"/>
      <c r="X105" s="954"/>
      <c r="Y105" s="954"/>
      <c r="Z105" s="954"/>
      <c r="AA105" s="954"/>
      <c r="AB105" s="954"/>
      <c r="AC105" s="955"/>
      <c r="AD105" s="955"/>
      <c r="AE105" s="955"/>
      <c r="AF105" s="26"/>
    </row>
    <row r="106" spans="1:32" ht="20.100000000000001" customHeight="1" x14ac:dyDescent="0.25">
      <c r="A106" s="458"/>
      <c r="B106" s="376"/>
      <c r="C106" s="827"/>
      <c r="D106" s="26"/>
      <c r="E106" s="26"/>
      <c r="F106" s="26"/>
      <c r="G106" s="954"/>
      <c r="H106" s="954"/>
      <c r="I106" s="954"/>
      <c r="J106" s="954"/>
      <c r="K106" s="954"/>
      <c r="L106" s="955"/>
      <c r="M106" s="955"/>
      <c r="N106" s="955"/>
      <c r="O106" s="954"/>
      <c r="P106" s="954"/>
      <c r="Q106" s="954"/>
      <c r="R106" s="954"/>
      <c r="S106" s="954"/>
      <c r="T106" s="954"/>
      <c r="U106" s="954"/>
      <c r="V106" s="954"/>
      <c r="W106" s="954"/>
      <c r="X106" s="954"/>
      <c r="Y106" s="954"/>
      <c r="Z106" s="954"/>
      <c r="AA106" s="954"/>
      <c r="AB106" s="954"/>
      <c r="AC106" s="955"/>
      <c r="AD106" s="955"/>
      <c r="AE106" s="955"/>
      <c r="AF106" s="26"/>
    </row>
    <row r="107" spans="1:32" ht="20.100000000000001" customHeight="1" x14ac:dyDescent="0.25">
      <c r="A107" s="458"/>
      <c r="B107" s="376"/>
      <c r="C107" s="827"/>
      <c r="D107" s="26"/>
      <c r="E107" s="26"/>
      <c r="F107" s="26"/>
      <c r="G107" s="954"/>
      <c r="H107" s="954"/>
      <c r="I107" s="954"/>
      <c r="J107" s="954"/>
      <c r="K107" s="954"/>
      <c r="L107" s="954"/>
      <c r="M107" s="954"/>
      <c r="N107" s="954"/>
      <c r="O107" s="954"/>
      <c r="P107" s="954"/>
      <c r="Q107" s="954"/>
      <c r="R107" s="954"/>
      <c r="S107" s="954"/>
      <c r="T107" s="954"/>
      <c r="U107" s="954"/>
      <c r="V107" s="954"/>
      <c r="W107" s="954"/>
      <c r="X107" s="954"/>
      <c r="Y107" s="954"/>
      <c r="Z107" s="954"/>
      <c r="AA107" s="954"/>
      <c r="AB107" s="954"/>
      <c r="AC107" s="954"/>
      <c r="AD107" s="954"/>
      <c r="AE107" s="954"/>
      <c r="AF107" s="26"/>
    </row>
    <row r="108" spans="1:32" ht="20.100000000000001" customHeight="1" x14ac:dyDescent="0.25">
      <c r="A108" s="458"/>
      <c r="B108" s="376"/>
      <c r="C108" s="827"/>
      <c r="D108" s="26"/>
      <c r="E108" s="26"/>
      <c r="F108" s="26"/>
      <c r="G108" s="1070" t="s">
        <v>460</v>
      </c>
      <c r="H108" s="1070"/>
      <c r="I108" s="1070"/>
      <c r="J108" s="1070"/>
      <c r="K108" s="1070"/>
      <c r="L108" s="1070"/>
      <c r="M108" s="1070"/>
      <c r="N108" s="1070"/>
      <c r="O108" s="954"/>
      <c r="P108" s="954"/>
      <c r="Q108" s="954"/>
      <c r="R108" s="954"/>
      <c r="S108" s="954"/>
      <c r="T108" s="954"/>
      <c r="U108" s="954"/>
      <c r="V108" s="954"/>
      <c r="W108" s="954"/>
      <c r="X108" s="1070" t="s">
        <v>511</v>
      </c>
      <c r="Y108" s="1070"/>
      <c r="Z108" s="1070"/>
      <c r="AA108" s="1070"/>
      <c r="AB108" s="1070"/>
      <c r="AC108" s="1070"/>
      <c r="AD108" s="1070"/>
      <c r="AE108" s="1070"/>
      <c r="AF108" s="899"/>
    </row>
    <row r="109" spans="1:32" ht="20.100000000000001" customHeight="1" x14ac:dyDescent="0.25">
      <c r="A109" s="458"/>
      <c r="B109" s="376"/>
      <c r="C109" s="827"/>
      <c r="D109" s="26"/>
      <c r="E109" s="26"/>
      <c r="F109" s="26"/>
      <c r="G109" s="1071" t="s">
        <v>461</v>
      </c>
      <c r="H109" s="1071"/>
      <c r="I109" s="1071"/>
      <c r="J109" s="1071"/>
      <c r="K109" s="1071"/>
      <c r="L109" s="1071"/>
      <c r="M109" s="1071"/>
      <c r="N109" s="1071"/>
      <c r="O109" s="954"/>
      <c r="P109" s="954"/>
      <c r="Q109" s="954"/>
      <c r="R109" s="954"/>
      <c r="S109" s="954"/>
      <c r="T109" s="954"/>
      <c r="U109" s="954"/>
      <c r="V109" s="954"/>
      <c r="W109" s="954"/>
      <c r="X109" s="1071" t="s">
        <v>512</v>
      </c>
      <c r="Y109" s="1071"/>
      <c r="Z109" s="1071"/>
      <c r="AA109" s="1071"/>
      <c r="AB109" s="1071"/>
      <c r="AC109" s="1071"/>
      <c r="AD109" s="1071"/>
      <c r="AE109" s="1071"/>
      <c r="AF109" s="26"/>
    </row>
    <row r="110" spans="1:32" ht="20.100000000000001" customHeight="1" x14ac:dyDescent="0.25">
      <c r="A110" s="458"/>
      <c r="B110" s="376"/>
      <c r="C110" s="827"/>
      <c r="D110" s="26"/>
      <c r="E110" s="26"/>
      <c r="F110" s="26"/>
      <c r="G110" s="1071" t="s">
        <v>462</v>
      </c>
      <c r="H110" s="1071"/>
      <c r="I110" s="1071"/>
      <c r="J110" s="1071"/>
      <c r="K110" s="1071"/>
      <c r="L110" s="1071"/>
      <c r="M110" s="1071"/>
      <c r="N110" s="1071"/>
      <c r="O110" s="954"/>
      <c r="P110" s="954"/>
      <c r="Q110" s="954"/>
      <c r="R110" s="954"/>
      <c r="S110" s="954"/>
      <c r="T110" s="954"/>
      <c r="U110" s="954"/>
      <c r="V110" s="954"/>
      <c r="W110" s="954"/>
      <c r="X110" s="1071" t="s">
        <v>513</v>
      </c>
      <c r="Y110" s="1071"/>
      <c r="Z110" s="1071"/>
      <c r="AA110" s="1071"/>
      <c r="AB110" s="1071"/>
      <c r="AC110" s="1071"/>
      <c r="AD110" s="1071"/>
      <c r="AE110" s="1071"/>
      <c r="AF110" s="26"/>
    </row>
    <row r="111" spans="1:32" ht="30" customHeight="1" x14ac:dyDescent="0.25">
      <c r="A111" s="458"/>
      <c r="B111" s="376"/>
      <c r="C111" s="82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</row>
    <row r="112" spans="1:32" ht="30" customHeight="1" x14ac:dyDescent="0.25">
      <c r="A112" s="458"/>
      <c r="B112" s="376"/>
      <c r="C112" s="827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</row>
    <row r="113" spans="1:32" ht="30" customHeight="1" x14ac:dyDescent="0.25">
      <c r="A113" s="458"/>
      <c r="B113" s="376"/>
      <c r="C113" s="827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</row>
    <row r="114" spans="1:32" x14ac:dyDescent="0.25">
      <c r="C114" s="25"/>
      <c r="D114" s="26"/>
      <c r="E114" s="16"/>
    </row>
    <row r="115" spans="1:32" x14ac:dyDescent="0.25">
      <c r="C115" s="27"/>
      <c r="D115" s="53"/>
      <c r="L115" s="71"/>
      <c r="N115" s="74"/>
      <c r="O115" s="74"/>
      <c r="Q115" s="74"/>
      <c r="S115" s="71"/>
      <c r="W115" s="74"/>
      <c r="Y115" s="74"/>
    </row>
    <row r="116" spans="1:32" x14ac:dyDescent="0.25">
      <c r="C116" s="24"/>
      <c r="D116" s="53"/>
      <c r="L116" s="74"/>
      <c r="N116" s="919"/>
      <c r="O116" s="608"/>
    </row>
    <row r="117" spans="1:32" x14ac:dyDescent="0.25">
      <c r="D117" s="53"/>
    </row>
    <row r="118" spans="1:32" x14ac:dyDescent="0.25">
      <c r="D118" s="53"/>
      <c r="L118" s="446"/>
    </row>
    <row r="119" spans="1:32" x14ac:dyDescent="0.25">
      <c r="D119" s="53"/>
    </row>
    <row r="120" spans="1:32" x14ac:dyDescent="0.25">
      <c r="D120" s="53"/>
      <c r="L120" s="920"/>
    </row>
    <row r="121" spans="1:32" x14ac:dyDescent="0.25">
      <c r="D121" s="53"/>
    </row>
    <row r="122" spans="1:32" x14ac:dyDescent="0.25">
      <c r="D122" s="53"/>
    </row>
    <row r="123" spans="1:32" x14ac:dyDescent="0.25">
      <c r="D123" s="53"/>
    </row>
    <row r="124" spans="1:32" x14ac:dyDescent="0.25">
      <c r="D124" s="53"/>
    </row>
    <row r="125" spans="1:32" x14ac:dyDescent="0.25">
      <c r="D125" s="53"/>
    </row>
    <row r="126" spans="1:32" x14ac:dyDescent="0.25">
      <c r="D126" s="53"/>
    </row>
    <row r="127" spans="1:32" x14ac:dyDescent="0.25">
      <c r="D127" s="53"/>
    </row>
    <row r="128" spans="1:32" x14ac:dyDescent="0.25">
      <c r="D128" s="53"/>
    </row>
    <row r="129" spans="4:4" x14ac:dyDescent="0.25">
      <c r="D129" s="53"/>
    </row>
    <row r="130" spans="4:4" x14ac:dyDescent="0.25">
      <c r="D130" s="53"/>
    </row>
    <row r="131" spans="4:4" x14ac:dyDescent="0.25">
      <c r="D131" s="53"/>
    </row>
    <row r="132" spans="4:4" x14ac:dyDescent="0.25">
      <c r="D132" s="53"/>
    </row>
    <row r="133" spans="4:4" x14ac:dyDescent="0.25">
      <c r="D133" s="53"/>
    </row>
    <row r="134" spans="4:4" x14ac:dyDescent="0.25">
      <c r="D134" s="53"/>
    </row>
    <row r="135" spans="4:4" x14ac:dyDescent="0.25">
      <c r="D135" s="53"/>
    </row>
    <row r="136" spans="4:4" x14ac:dyDescent="0.25">
      <c r="D136" s="53"/>
    </row>
    <row r="137" spans="4:4" x14ac:dyDescent="0.25">
      <c r="D137" s="53"/>
    </row>
    <row r="138" spans="4:4" x14ac:dyDescent="0.25">
      <c r="D138" s="53"/>
    </row>
    <row r="139" spans="4:4" x14ac:dyDescent="0.25">
      <c r="D139" s="53"/>
    </row>
    <row r="140" spans="4:4" x14ac:dyDescent="0.25">
      <c r="D140" s="53"/>
    </row>
    <row r="141" spans="4:4" x14ac:dyDescent="0.25">
      <c r="D141" s="53"/>
    </row>
    <row r="142" spans="4:4" x14ac:dyDescent="0.25">
      <c r="D142" s="53"/>
    </row>
    <row r="143" spans="4:4" x14ac:dyDescent="0.25">
      <c r="D143" s="53"/>
    </row>
    <row r="144" spans="4:4" x14ac:dyDescent="0.25">
      <c r="D144" s="53"/>
    </row>
    <row r="145" spans="4:4" x14ac:dyDescent="0.25">
      <c r="D145" s="53"/>
    </row>
    <row r="146" spans="4:4" x14ac:dyDescent="0.25">
      <c r="D146" s="53"/>
    </row>
    <row r="147" spans="4:4" x14ac:dyDescent="0.25">
      <c r="D147" s="53"/>
    </row>
    <row r="148" spans="4:4" x14ac:dyDescent="0.25">
      <c r="D148" s="53"/>
    </row>
    <row r="149" spans="4:4" x14ac:dyDescent="0.25">
      <c r="D149" s="53"/>
    </row>
    <row r="150" spans="4:4" x14ac:dyDescent="0.25">
      <c r="D150" s="53"/>
    </row>
    <row r="151" spans="4:4" x14ac:dyDescent="0.25">
      <c r="D151" s="53"/>
    </row>
    <row r="152" spans="4:4" x14ac:dyDescent="0.25">
      <c r="D152" s="53"/>
    </row>
    <row r="153" spans="4:4" x14ac:dyDescent="0.25">
      <c r="D153" s="53"/>
    </row>
    <row r="154" spans="4:4" x14ac:dyDescent="0.25">
      <c r="D154" s="53"/>
    </row>
  </sheetData>
  <mergeCells count="50">
    <mergeCell ref="G110:N110"/>
    <mergeCell ref="G101:N101"/>
    <mergeCell ref="G104:N104"/>
    <mergeCell ref="G108:N108"/>
    <mergeCell ref="G109:N109"/>
    <mergeCell ref="G8:H8"/>
    <mergeCell ref="I8:J8"/>
    <mergeCell ref="K8:N8"/>
    <mergeCell ref="P8:Q8"/>
    <mergeCell ref="R8:S8"/>
    <mergeCell ref="X110:AE110"/>
    <mergeCell ref="A1:AF1"/>
    <mergeCell ref="A4:A7"/>
    <mergeCell ref="B4:B7"/>
    <mergeCell ref="C4:C7"/>
    <mergeCell ref="D4:D7"/>
    <mergeCell ref="E4:E7"/>
    <mergeCell ref="F4:F7"/>
    <mergeCell ref="G4:H6"/>
    <mergeCell ref="I4:J6"/>
    <mergeCell ref="K4:O6"/>
    <mergeCell ref="P4:W4"/>
    <mergeCell ref="X4:Y6"/>
    <mergeCell ref="T8:U8"/>
    <mergeCell ref="K2:R2"/>
    <mergeCell ref="G103:N103"/>
    <mergeCell ref="Z4:AA6"/>
    <mergeCell ref="AF4:AF7"/>
    <mergeCell ref="P5:Q6"/>
    <mergeCell ref="Z8:AA8"/>
    <mergeCell ref="AB8:AC8"/>
    <mergeCell ref="AD8:AE8"/>
    <mergeCell ref="V5:W6"/>
    <mergeCell ref="AD4:AE6"/>
    <mergeCell ref="AB4:AC6"/>
    <mergeCell ref="R5:S6"/>
    <mergeCell ref="T5:U6"/>
    <mergeCell ref="V8:W8"/>
    <mergeCell ref="X8:Y8"/>
    <mergeCell ref="X108:AE108"/>
    <mergeCell ref="X109:AE109"/>
    <mergeCell ref="X103:AE103"/>
    <mergeCell ref="X104:AE104"/>
    <mergeCell ref="A95:C95"/>
    <mergeCell ref="A96:C96"/>
    <mergeCell ref="A97:C97"/>
    <mergeCell ref="A98:C98"/>
    <mergeCell ref="X101:AE101"/>
    <mergeCell ref="Y100:AD100"/>
    <mergeCell ref="G100:N100"/>
  </mergeCells>
  <printOptions horizontalCentered="1"/>
  <pageMargins left="0.19685039370078741" right="0.19685039370078741" top="0.39370078740157483" bottom="0.19685039370078741" header="0.31496062992125984" footer="0.31496062992125984"/>
  <pageSetup paperSize="14" scale="41" fitToHeight="0" orientation="landscape" r:id="rId1"/>
  <rowBreaks count="3" manualBreakCount="3">
    <brk id="40" max="31" man="1"/>
    <brk id="59" max="31" man="1"/>
    <brk id="83" max="3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RKPD 2021</vt:lpstr>
      <vt:lpstr>RIIL TW IV PERBAIKAN</vt:lpstr>
      <vt:lpstr>(Sblm) REVISI RKPD 2021</vt:lpstr>
      <vt:lpstr>TW IV</vt:lpstr>
      <vt:lpstr>TW I</vt:lpstr>
      <vt:lpstr>'(Sblm) REVISI RKPD 2021'!Print_Area</vt:lpstr>
      <vt:lpstr>'RIIL TW IV PERBAIKAN'!Print_Area</vt:lpstr>
      <vt:lpstr>'RKPD 2021'!Print_Area</vt:lpstr>
      <vt:lpstr>'TW I'!Print_Area</vt:lpstr>
      <vt:lpstr>'TW IV'!Print_Area</vt:lpstr>
      <vt:lpstr>'(Sblm) REVISI RKPD 2021'!Print_Titles</vt:lpstr>
      <vt:lpstr>'RIIL TW IV PERBAIKAN'!Print_Titles</vt:lpstr>
      <vt:lpstr>'RKPD 2021'!Print_Titles</vt:lpstr>
      <vt:lpstr>'TW I'!Print_Titles</vt:lpstr>
      <vt:lpstr>'TW IV'!Print_Titles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HANI</cp:lastModifiedBy>
  <cp:lastPrinted>2023-01-05T09:44:19Z</cp:lastPrinted>
  <dcterms:created xsi:type="dcterms:W3CDTF">2021-03-04T01:01:23Z</dcterms:created>
  <dcterms:modified xsi:type="dcterms:W3CDTF">2023-09-20T04:28:43Z</dcterms:modified>
</cp:coreProperties>
</file>