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ENOVO\Documents\DINAS PANGAN DAN PERKEBUNAN\PERENCANAAN 2019\statistik Perkebunan 2019\laporan tw 4\"/>
    </mc:Choice>
  </mc:AlternateContent>
  <xr:revisionPtr revIDLastSave="0" documentId="13_ncr:1_{43A98849-6D1C-4BE6-AF2C-667D7A35E666}" xr6:coauthVersionLast="47" xr6:coauthVersionMax="47" xr10:uidLastSave="{00000000-0000-0000-0000-000000000000}"/>
  <bookViews>
    <workbookView xWindow="-110" yWindow="-110" windowWidth="19420" windowHeight="11500" tabRatio="598" xr2:uid="{00000000-000D-0000-FFFF-FFFF00000000}"/>
  </bookViews>
  <sheets>
    <sheet name="Rekap Kab" sheetId="1" r:id="rId1"/>
    <sheet name="dayeuhluhur" sheetId="3" r:id="rId2"/>
    <sheet name="wnrja" sheetId="4" r:id="rId3"/>
    <sheet name="Majenang" sheetId="5" r:id="rId4"/>
    <sheet name="cmggu" sheetId="6" r:id="rId5"/>
    <sheet name="krpucung" sheetId="7" r:id="rId6"/>
    <sheet name="ptmn" sheetId="8" r:id="rId7"/>
    <sheet name="cipari" sheetId="9" r:id="rId8"/>
    <sheet name="sdrja" sheetId="10" r:id="rId9"/>
    <sheet name="kdreja" sheetId="11" r:id="rId10"/>
    <sheet name="gdmangu" sheetId="12" r:id="rId11"/>
    <sheet name="bt sari" sheetId="13" r:id="rId12"/>
    <sheet name="kwanten" sheetId="14" r:id="rId13"/>
    <sheet name="jrlegi" sheetId="15" r:id="rId14"/>
    <sheet name="binangun" sheetId="17" r:id="rId15"/>
    <sheet name="krya" sheetId="18" r:id="rId16"/>
    <sheet name="adpla" sheetId="19" r:id="rId17"/>
    <sheet name="maos" sheetId="20" r:id="rId18"/>
    <sheet name="smpg" sheetId="21" r:id="rId19"/>
    <sheet name="ksghn" sheetId="22" r:id="rId20"/>
    <sheet name="nswg" sheetId="16" r:id="rId21"/>
    <sheet name="kamla" sheetId="23" r:id="rId22"/>
    <sheet name="cilut-Prnt" sheetId="24" r:id="rId23"/>
    <sheet name="cilteng-prnt" sheetId="25" r:id="rId24"/>
    <sheet name="cilse-prnt" sheetId="26" r:id="rId25"/>
    <sheet name="Kecamatan (25)" sheetId="27" r:id="rId26"/>
  </sheets>
  <externalReferences>
    <externalReference r:id="rId2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  <c r="N44" i="1" l="1"/>
  <c r="N24" i="20" l="1"/>
  <c r="I23" i="24"/>
  <c r="H23" i="24"/>
  <c r="H34" i="15"/>
  <c r="J24" i="15"/>
  <c r="I24" i="15"/>
  <c r="I23" i="15" l="1"/>
  <c r="H23" i="15"/>
  <c r="I22" i="15"/>
  <c r="H22" i="15"/>
  <c r="I15" i="15"/>
  <c r="H15" i="15"/>
  <c r="I23" i="26" l="1"/>
  <c r="H23" i="26"/>
  <c r="J23" i="25"/>
  <c r="I23" i="25"/>
  <c r="H23" i="25"/>
  <c r="I23" i="23"/>
  <c r="H23" i="23"/>
  <c r="E23" i="23"/>
  <c r="I23" i="16"/>
  <c r="H23" i="16"/>
  <c r="I15" i="22"/>
  <c r="H15" i="22"/>
  <c r="I23" i="21"/>
  <c r="H23" i="21"/>
  <c r="I23" i="20"/>
  <c r="H23" i="20"/>
  <c r="H23" i="19"/>
  <c r="I23" i="18"/>
  <c r="H23" i="18"/>
  <c r="H23" i="17"/>
  <c r="I23" i="14"/>
  <c r="H23" i="14"/>
  <c r="H22" i="14"/>
  <c r="I23" i="12"/>
  <c r="H23" i="12"/>
  <c r="I22" i="12"/>
  <c r="H22" i="12"/>
  <c r="H23" i="8"/>
  <c r="E23" i="8"/>
  <c r="H23" i="5"/>
  <c r="E23" i="5"/>
  <c r="I20" i="12" l="1"/>
  <c r="H20" i="12"/>
  <c r="E20" i="12"/>
  <c r="I23" i="11"/>
  <c r="H23" i="11"/>
  <c r="I20" i="11"/>
  <c r="H20" i="11"/>
  <c r="I23" i="10"/>
  <c r="H23" i="10"/>
  <c r="I22" i="10"/>
  <c r="H22" i="10"/>
  <c r="I15" i="10"/>
  <c r="H15" i="10"/>
  <c r="I23" i="9" l="1"/>
  <c r="H23" i="9"/>
  <c r="I22" i="9"/>
  <c r="H22" i="9"/>
  <c r="I20" i="9"/>
  <c r="H20" i="9"/>
  <c r="I11" i="9"/>
  <c r="I20" i="8" l="1"/>
  <c r="I23" i="7"/>
  <c r="H23" i="7"/>
  <c r="I22" i="7"/>
  <c r="H22" i="7"/>
  <c r="I20" i="7"/>
  <c r="H20" i="7"/>
  <c r="H15" i="7"/>
  <c r="Y11" i="7"/>
  <c r="H36" i="6"/>
  <c r="E36" i="6"/>
  <c r="J24" i="6"/>
  <c r="I24" i="6"/>
  <c r="I23" i="6"/>
  <c r="H23" i="6"/>
  <c r="I22" i="6"/>
  <c r="H22" i="6"/>
  <c r="I15" i="6"/>
  <c r="H15" i="6"/>
  <c r="I36" i="5" l="1"/>
  <c r="H36" i="5"/>
  <c r="I34" i="5"/>
  <c r="H34" i="5"/>
  <c r="I33" i="5"/>
  <c r="H33" i="5"/>
  <c r="J23" i="5"/>
  <c r="I23" i="5"/>
  <c r="H15" i="5"/>
  <c r="I11" i="5" l="1"/>
  <c r="H11" i="5"/>
  <c r="I36" i="4" l="1"/>
  <c r="H36" i="4"/>
  <c r="H33" i="4"/>
  <c r="I23" i="4"/>
  <c r="H23" i="4"/>
  <c r="J24" i="4"/>
  <c r="J23" i="4"/>
  <c r="I22" i="4"/>
  <c r="H22" i="4"/>
  <c r="I15" i="4"/>
  <c r="H15" i="4"/>
  <c r="I36" i="3" l="1"/>
  <c r="H36" i="3"/>
  <c r="H33" i="3"/>
  <c r="I23" i="3" l="1"/>
  <c r="H23" i="3"/>
  <c r="I22" i="3"/>
  <c r="H22" i="3"/>
  <c r="I15" i="3"/>
  <c r="H15" i="3"/>
  <c r="H11" i="3"/>
  <c r="I11" i="3"/>
  <c r="H36" i="7" l="1"/>
  <c r="G15" i="22" l="1"/>
  <c r="C15" i="7"/>
  <c r="G15" i="7" s="1"/>
  <c r="N34" i="22" l="1"/>
  <c r="N34" i="15"/>
  <c r="N34" i="12"/>
  <c r="N34" i="10"/>
  <c r="N34" i="9"/>
  <c r="N34" i="7"/>
  <c r="N34" i="6"/>
  <c r="N34" i="5"/>
  <c r="N34" i="4"/>
  <c r="Y20" i="22" l="1"/>
  <c r="N15" i="22"/>
  <c r="N24" i="21"/>
  <c r="N15" i="15"/>
  <c r="N15" i="10"/>
  <c r="N15" i="9"/>
  <c r="N36" i="7"/>
  <c r="N15" i="7"/>
  <c r="N36" i="6"/>
  <c r="N15" i="6"/>
  <c r="N36" i="5"/>
  <c r="N33" i="5"/>
  <c r="N15" i="5"/>
  <c r="Y37" i="4"/>
  <c r="N36" i="4"/>
  <c r="Y22" i="3"/>
  <c r="Y15" i="3"/>
  <c r="N15" i="4"/>
  <c r="Y11" i="4"/>
  <c r="Y24" i="3"/>
  <c r="Z23" i="3"/>
  <c r="Y23" i="3"/>
  <c r="N15" i="3"/>
  <c r="Y11" i="3"/>
  <c r="O19" i="1" l="1"/>
  <c r="L24" i="3"/>
  <c r="Q15" i="7"/>
  <c r="Q15" i="9"/>
  <c r="Q15" i="6"/>
  <c r="Q15" i="5"/>
  <c r="Q15" i="3"/>
  <c r="C11" i="3"/>
  <c r="E11" i="3" l="1"/>
  <c r="E11" i="5"/>
  <c r="J11" i="6"/>
  <c r="H11" i="4"/>
  <c r="I11" i="4"/>
  <c r="C24" i="8" l="1"/>
  <c r="N23" i="23"/>
  <c r="N20" i="22"/>
  <c r="N23" i="7"/>
  <c r="L24" i="1"/>
  <c r="L6" i="1" s="1"/>
  <c r="N23" i="26" l="1"/>
  <c r="N24" i="25"/>
  <c r="N23" i="25"/>
  <c r="N23" i="20"/>
  <c r="N22" i="14"/>
  <c r="N24" i="11"/>
  <c r="N20" i="11"/>
  <c r="N23" i="9"/>
  <c r="N22" i="9"/>
  <c r="N24" i="17"/>
  <c r="N23" i="17"/>
  <c r="N24" i="3"/>
  <c r="N23" i="3"/>
  <c r="N11" i="3"/>
  <c r="N24" i="10"/>
  <c r="N22" i="10"/>
  <c r="N20" i="10"/>
  <c r="N11" i="10"/>
  <c r="N23" i="19"/>
  <c r="G34" i="6"/>
  <c r="N24" i="6"/>
  <c r="N23" i="6"/>
  <c r="N22" i="6"/>
  <c r="N11" i="6"/>
  <c r="N24" i="18"/>
  <c r="N23" i="5"/>
  <c r="N22" i="5"/>
  <c r="N11" i="5"/>
  <c r="N24" i="16"/>
  <c r="N23" i="16"/>
  <c r="N23" i="21"/>
  <c r="Q33" i="13"/>
  <c r="N24" i="13"/>
  <c r="N23" i="13"/>
  <c r="N20" i="13"/>
  <c r="N37" i="4"/>
  <c r="N24" i="23" l="1"/>
  <c r="N23" i="12"/>
  <c r="N22" i="12"/>
  <c r="N20" i="12"/>
  <c r="N23" i="8"/>
  <c r="N20" i="8"/>
  <c r="N22" i="7"/>
  <c r="N11" i="7"/>
  <c r="N24" i="22"/>
  <c r="M22" i="13" l="1"/>
  <c r="I22" i="13"/>
  <c r="N22" i="13" s="1"/>
  <c r="H22" i="13"/>
  <c r="C22" i="13"/>
  <c r="K20" i="8" l="1"/>
  <c r="G20" i="8"/>
  <c r="C20" i="11" l="1"/>
  <c r="N24" i="12"/>
  <c r="J20" i="18" l="1"/>
  <c r="N24" i="15"/>
  <c r="N22" i="15"/>
  <c r="H20" i="15"/>
  <c r="E20" i="15"/>
  <c r="J23" i="18"/>
  <c r="N23" i="18"/>
  <c r="H20" i="18"/>
  <c r="M37" i="4"/>
  <c r="K37" i="4"/>
  <c r="G37" i="4"/>
  <c r="K34" i="4"/>
  <c r="G34" i="4"/>
  <c r="J33" i="4"/>
  <c r="I33" i="4"/>
  <c r="N33" i="4" s="1"/>
  <c r="C33" i="4"/>
  <c r="N22" i="4"/>
  <c r="F22" i="4"/>
  <c r="E22" i="4"/>
  <c r="D22" i="4"/>
  <c r="N23" i="4" l="1"/>
  <c r="J15" i="4"/>
  <c r="J11" i="4" l="1"/>
  <c r="N11" i="4"/>
  <c r="E11" i="4"/>
  <c r="I34" i="3" l="1"/>
  <c r="N34" i="3" s="1"/>
  <c r="H34" i="3"/>
  <c r="N22" i="3"/>
  <c r="I20" i="15" l="1"/>
  <c r="N20" i="15" l="1"/>
  <c r="N33" i="13" l="1"/>
  <c r="N36" i="3" l="1"/>
  <c r="G20" i="3"/>
  <c r="Q36" i="5" l="1"/>
  <c r="Q11" i="3"/>
  <c r="Q11" i="9"/>
  <c r="Q11" i="6"/>
  <c r="Q11" i="5"/>
  <c r="Q11" i="4"/>
  <c r="Q20" i="7"/>
  <c r="Q24" i="3"/>
  <c r="Q24" i="12"/>
  <c r="Q24" i="13"/>
  <c r="Q23" i="23"/>
  <c r="Q23" i="3"/>
  <c r="Q23" i="16"/>
  <c r="Q23" i="15"/>
  <c r="Q23" i="13"/>
  <c r="Q23" i="5"/>
  <c r="Q23" i="12"/>
  <c r="Q22" i="10"/>
  <c r="Q22" i="5"/>
  <c r="Q22" i="4"/>
  <c r="Q22" i="3"/>
  <c r="Q22" i="6"/>
  <c r="O21" i="1" l="1"/>
  <c r="N21" i="1"/>
  <c r="L21" i="1"/>
  <c r="K21" i="1"/>
  <c r="J21" i="1"/>
  <c r="I21" i="1"/>
  <c r="H21" i="1"/>
  <c r="F21" i="1"/>
  <c r="E21" i="1"/>
  <c r="D21" i="1"/>
  <c r="C21" i="1"/>
  <c r="G21" i="1" l="1"/>
  <c r="Q36" i="6"/>
  <c r="Q36" i="4"/>
  <c r="Q36" i="3"/>
  <c r="Q34" i="12"/>
  <c r="Q34" i="10"/>
  <c r="Q34" i="9"/>
  <c r="Q34" i="7"/>
  <c r="Q34" i="6"/>
  <c r="Q34" i="5"/>
  <c r="Q33" i="3"/>
  <c r="Q33" i="10"/>
  <c r="Q33" i="5"/>
  <c r="Q33" i="4"/>
  <c r="Q24" i="11"/>
  <c r="Q24" i="25"/>
  <c r="Q24" i="24"/>
  <c r="Q24" i="23"/>
  <c r="Q24" i="22"/>
  <c r="Q24" i="18"/>
  <c r="Q24" i="17"/>
  <c r="Q24" i="16"/>
  <c r="Q24" i="15"/>
  <c r="Q24" i="14"/>
  <c r="Q24" i="10"/>
  <c r="Q24" i="9"/>
  <c r="Q24" i="4"/>
  <c r="Q24" i="20"/>
  <c r="Q24" i="21"/>
  <c r="Q24" i="19"/>
  <c r="Q24" i="8"/>
  <c r="Q24" i="7"/>
  <c r="Q24" i="6"/>
  <c r="Q24" i="5"/>
  <c r="Q23" i="19"/>
  <c r="Q23" i="18"/>
  <c r="Q23" i="17"/>
  <c r="Q23" i="14"/>
  <c r="Q23" i="11"/>
  <c r="Q23" i="10"/>
  <c r="Q23" i="9"/>
  <c r="Q23" i="8"/>
  <c r="Q23" i="7"/>
  <c r="Q23" i="6"/>
  <c r="Q23" i="4"/>
  <c r="Q23" i="26"/>
  <c r="Q23" i="24"/>
  <c r="Q23" i="22"/>
  <c r="Q23" i="21"/>
  <c r="Q23" i="20"/>
  <c r="Q22" i="13"/>
  <c r="Q22" i="12"/>
  <c r="Q22" i="11"/>
  <c r="Q22" i="22"/>
  <c r="Q22" i="15"/>
  <c r="Q22" i="14"/>
  <c r="Q22" i="9"/>
  <c r="Q22" i="7"/>
  <c r="Q20" i="22"/>
  <c r="Q20" i="18"/>
  <c r="Q20" i="15"/>
  <c r="Q20" i="13"/>
  <c r="Q20" i="12"/>
  <c r="Q20" i="11"/>
  <c r="Q20" i="9"/>
  <c r="Q15" i="22"/>
  <c r="Q15" i="15"/>
  <c r="N11" i="9" l="1"/>
  <c r="U11" i="9" l="1"/>
  <c r="L33" i="13"/>
  <c r="J24" i="24"/>
  <c r="H34" i="9"/>
  <c r="I33" i="9"/>
  <c r="N33" i="9" s="1"/>
  <c r="N24" i="9"/>
  <c r="K22" i="13"/>
  <c r="K22" i="12"/>
  <c r="K22" i="9"/>
  <c r="N20" i="9"/>
  <c r="K23" i="26"/>
  <c r="G23" i="26"/>
  <c r="K24" i="25"/>
  <c r="G24" i="25"/>
  <c r="K23" i="25"/>
  <c r="G23" i="25"/>
  <c r="N23" i="24"/>
  <c r="I24" i="24"/>
  <c r="N24" i="24" s="1"/>
  <c r="K24" i="23"/>
  <c r="G24" i="23"/>
  <c r="G23" i="23"/>
  <c r="K34" i="22"/>
  <c r="K36" i="22"/>
  <c r="K23" i="22"/>
  <c r="K22" i="22"/>
  <c r="K15" i="22"/>
  <c r="G36" i="22"/>
  <c r="G20" i="22"/>
  <c r="G22" i="22"/>
  <c r="G24" i="22"/>
  <c r="K23" i="21"/>
  <c r="G24" i="21"/>
  <c r="G23" i="21"/>
  <c r="J23" i="20"/>
  <c r="K23" i="20" s="1"/>
  <c r="K24" i="20"/>
  <c r="G24" i="20"/>
  <c r="G23" i="20"/>
  <c r="I24" i="19"/>
  <c r="N24" i="19" s="1"/>
  <c r="J24" i="19"/>
  <c r="J23" i="19"/>
  <c r="G24" i="19"/>
  <c r="G23" i="19"/>
  <c r="K24" i="18"/>
  <c r="K20" i="18"/>
  <c r="G20" i="18"/>
  <c r="K24" i="17"/>
  <c r="G23" i="17"/>
  <c r="K24" i="16"/>
  <c r="G24" i="16"/>
  <c r="G23" i="16"/>
  <c r="J23" i="15"/>
  <c r="J22" i="15"/>
  <c r="K22" i="15" s="1"/>
  <c r="K34" i="15"/>
  <c r="K15" i="15"/>
  <c r="K24" i="15"/>
  <c r="G34" i="15"/>
  <c r="G15" i="15"/>
  <c r="G20" i="15"/>
  <c r="I24" i="14"/>
  <c r="N24" i="14" s="1"/>
  <c r="K22" i="14"/>
  <c r="G23" i="14"/>
  <c r="G24" i="14"/>
  <c r="G22" i="14"/>
  <c r="K34" i="13"/>
  <c r="K33" i="13"/>
  <c r="K24" i="13"/>
  <c r="K20" i="13"/>
  <c r="G34" i="13"/>
  <c r="G33" i="13"/>
  <c r="G24" i="13"/>
  <c r="G20" i="13"/>
  <c r="K20" i="12"/>
  <c r="K34" i="12"/>
  <c r="K24" i="12"/>
  <c r="K15" i="12"/>
  <c r="G15" i="12"/>
  <c r="G23" i="12"/>
  <c r="G24" i="12"/>
  <c r="N23" i="11"/>
  <c r="K22" i="11"/>
  <c r="K23" i="11"/>
  <c r="K24" i="11"/>
  <c r="K20" i="11"/>
  <c r="G22" i="11"/>
  <c r="G23" i="11"/>
  <c r="G24" i="11"/>
  <c r="J20" i="10"/>
  <c r="K34" i="10"/>
  <c r="K33" i="10"/>
  <c r="K22" i="10"/>
  <c r="K24" i="10"/>
  <c r="K15" i="10"/>
  <c r="K11" i="10"/>
  <c r="G34" i="10"/>
  <c r="G33" i="10"/>
  <c r="G24" i="10"/>
  <c r="G20" i="10"/>
  <c r="G15" i="10"/>
  <c r="G11" i="10"/>
  <c r="J33" i="9"/>
  <c r="K20" i="9"/>
  <c r="K23" i="9"/>
  <c r="K15" i="9"/>
  <c r="K11" i="9"/>
  <c r="G34" i="9"/>
  <c r="G33" i="9"/>
  <c r="G22" i="9"/>
  <c r="G23" i="9"/>
  <c r="G24" i="9"/>
  <c r="G20" i="9"/>
  <c r="G15" i="9"/>
  <c r="G11" i="9"/>
  <c r="I24" i="8"/>
  <c r="N24" i="8" s="1"/>
  <c r="J23" i="8"/>
  <c r="J34" i="7"/>
  <c r="I33" i="7"/>
  <c r="N33" i="7" s="1"/>
  <c r="H33" i="7"/>
  <c r="I24" i="7"/>
  <c r="N24" i="7" s="1"/>
  <c r="K23" i="7"/>
  <c r="J20" i="7"/>
  <c r="N20" i="7"/>
  <c r="K36" i="7"/>
  <c r="K34" i="7"/>
  <c r="K22" i="7"/>
  <c r="G34" i="7"/>
  <c r="G23" i="7"/>
  <c r="G11" i="7"/>
  <c r="K34" i="6"/>
  <c r="K23" i="6"/>
  <c r="K24" i="6"/>
  <c r="K22" i="6"/>
  <c r="G36" i="6"/>
  <c r="G23" i="6"/>
  <c r="G24" i="6"/>
  <c r="G22" i="6"/>
  <c r="K15" i="6"/>
  <c r="G15" i="6"/>
  <c r="K11" i="6"/>
  <c r="G11" i="6"/>
  <c r="K36" i="5"/>
  <c r="K33" i="5"/>
  <c r="G33" i="5"/>
  <c r="N24" i="5"/>
  <c r="K23" i="5"/>
  <c r="K15" i="5"/>
  <c r="G15" i="5"/>
  <c r="G36" i="3"/>
  <c r="G34" i="3"/>
  <c r="N33" i="3"/>
  <c r="G33" i="3"/>
  <c r="G24" i="3"/>
  <c r="G23" i="3"/>
  <c r="G36" i="4"/>
  <c r="G11" i="4"/>
  <c r="G33" i="4"/>
  <c r="G24" i="4"/>
  <c r="K23" i="18"/>
  <c r="K23" i="16"/>
  <c r="J23" i="10"/>
  <c r="N23" i="15"/>
  <c r="G22" i="3"/>
  <c r="K34" i="5"/>
  <c r="K22" i="5"/>
  <c r="K36" i="4"/>
  <c r="K33" i="4"/>
  <c r="K24" i="4"/>
  <c r="K23" i="4"/>
  <c r="G15" i="4"/>
  <c r="AB38" i="21"/>
  <c r="AC38" i="20"/>
  <c r="N23" i="10" l="1"/>
  <c r="I23" i="1"/>
  <c r="K23" i="14"/>
  <c r="N23" i="14"/>
  <c r="K23" i="17"/>
  <c r="K23" i="23"/>
  <c r="K23" i="12"/>
  <c r="K23" i="19"/>
  <c r="M23" i="5"/>
  <c r="M36" i="4"/>
  <c r="U23" i="9"/>
  <c r="K23" i="24"/>
  <c r="K20" i="15"/>
  <c r="K11" i="5"/>
  <c r="K24" i="22"/>
  <c r="K24" i="19"/>
  <c r="K23" i="15"/>
  <c r="K24" i="14"/>
  <c r="K34" i="9"/>
  <c r="K24" i="8"/>
  <c r="K24" i="7"/>
  <c r="K33" i="7"/>
  <c r="K36" i="6"/>
  <c r="K24" i="5"/>
  <c r="K15" i="4"/>
  <c r="K24" i="24"/>
  <c r="K20" i="22"/>
  <c r="K23" i="13"/>
  <c r="K23" i="10"/>
  <c r="K20" i="10"/>
  <c r="K33" i="9"/>
  <c r="K24" i="9"/>
  <c r="K23" i="8"/>
  <c r="M33" i="7"/>
  <c r="K11" i="4"/>
  <c r="AD38" i="1"/>
  <c r="C36" i="7" l="1"/>
  <c r="G36" i="7" s="1"/>
  <c r="G36" i="5"/>
  <c r="G34" i="5"/>
  <c r="G34" i="22"/>
  <c r="C34" i="12"/>
  <c r="G34" i="12" s="1"/>
  <c r="C33" i="7"/>
  <c r="G33" i="7" s="1"/>
  <c r="C24" i="15"/>
  <c r="G24" i="15" s="1"/>
  <c r="G24" i="17"/>
  <c r="G24" i="8"/>
  <c r="G24" i="5"/>
  <c r="C24" i="24"/>
  <c r="G24" i="24" s="1"/>
  <c r="C24" i="7"/>
  <c r="G24" i="7" s="1"/>
  <c r="G24" i="18"/>
  <c r="C23" i="4"/>
  <c r="G23" i="4" s="1"/>
  <c r="G23" i="22"/>
  <c r="C23" i="24"/>
  <c r="G23" i="24" s="1"/>
  <c r="G23" i="18"/>
  <c r="G23" i="15"/>
  <c r="G23" i="10"/>
  <c r="G23" i="8"/>
  <c r="G23" i="5"/>
  <c r="G23" i="13"/>
  <c r="C22" i="4"/>
  <c r="G22" i="4" s="1"/>
  <c r="G22" i="10"/>
  <c r="C22" i="15"/>
  <c r="G22" i="15" s="1"/>
  <c r="G22" i="13"/>
  <c r="C22" i="12"/>
  <c r="G22" i="12" s="1"/>
  <c r="G22" i="7"/>
  <c r="G22" i="5"/>
  <c r="G20" i="12"/>
  <c r="G20" i="7"/>
  <c r="G20" i="11"/>
  <c r="G15" i="3"/>
  <c r="G11" i="5"/>
  <c r="C23" i="1" l="1"/>
  <c r="K16" i="3"/>
  <c r="K17" i="3"/>
  <c r="K18" i="3"/>
  <c r="K19" i="3"/>
  <c r="K20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11" i="3"/>
  <c r="G11" i="3"/>
  <c r="U11" i="3" l="1"/>
  <c r="L15" i="1"/>
  <c r="M11" i="10"/>
  <c r="K24" i="21"/>
  <c r="AB38" i="18"/>
  <c r="AC38" i="26"/>
  <c r="AC38" i="25"/>
  <c r="AB38" i="24"/>
  <c r="AB38" i="23"/>
  <c r="AB38" i="22"/>
  <c r="D36" i="1"/>
  <c r="AB38" i="19"/>
  <c r="AB38" i="16"/>
  <c r="AD40" i="1"/>
  <c r="AC38" i="14"/>
  <c r="AC38" i="13"/>
  <c r="AF38" i="12"/>
  <c r="AC38" i="10"/>
  <c r="AC38" i="9"/>
  <c r="AC38" i="8"/>
  <c r="AB38" i="7"/>
  <c r="AD38" i="6"/>
  <c r="AB38" i="17"/>
  <c r="K23" i="1"/>
  <c r="AC38" i="11"/>
  <c r="K11" i="7"/>
  <c r="AG38" i="5"/>
  <c r="K15" i="7"/>
  <c r="K20" i="7"/>
  <c r="K20" i="1" s="1"/>
  <c r="AB38" i="15"/>
  <c r="C11" i="1"/>
  <c r="D11" i="1"/>
  <c r="E11" i="1"/>
  <c r="F11" i="1"/>
  <c r="H11" i="1"/>
  <c r="I11" i="1"/>
  <c r="J11" i="1"/>
  <c r="N11" i="1"/>
  <c r="C12" i="1"/>
  <c r="D12" i="1"/>
  <c r="E12" i="1"/>
  <c r="F12" i="1"/>
  <c r="H12" i="1"/>
  <c r="I12" i="1"/>
  <c r="J12" i="1"/>
  <c r="K12" i="1"/>
  <c r="L12" i="1"/>
  <c r="N12" i="1"/>
  <c r="C13" i="1"/>
  <c r="D13" i="1"/>
  <c r="E13" i="1"/>
  <c r="F13" i="1"/>
  <c r="H13" i="1"/>
  <c r="I13" i="1"/>
  <c r="J13" i="1"/>
  <c r="K13" i="1"/>
  <c r="L13" i="1"/>
  <c r="N13" i="1"/>
  <c r="O13" i="1"/>
  <c r="C14" i="1"/>
  <c r="D14" i="1"/>
  <c r="E14" i="1"/>
  <c r="F14" i="1"/>
  <c r="H14" i="1"/>
  <c r="I14" i="1"/>
  <c r="J14" i="1"/>
  <c r="K14" i="1"/>
  <c r="L14" i="1"/>
  <c r="N14" i="1"/>
  <c r="O14" i="1"/>
  <c r="C15" i="1"/>
  <c r="D15" i="1"/>
  <c r="E15" i="1"/>
  <c r="F15" i="1"/>
  <c r="I15" i="1"/>
  <c r="J15" i="1"/>
  <c r="N15" i="1"/>
  <c r="C16" i="1"/>
  <c r="D16" i="1"/>
  <c r="E16" i="1"/>
  <c r="F16" i="1"/>
  <c r="H16" i="1"/>
  <c r="I16" i="1"/>
  <c r="J16" i="1"/>
  <c r="K16" i="1"/>
  <c r="L16" i="1"/>
  <c r="N16" i="1"/>
  <c r="O16" i="1"/>
  <c r="C17" i="1"/>
  <c r="D17" i="1"/>
  <c r="E17" i="1"/>
  <c r="F17" i="1"/>
  <c r="H17" i="1"/>
  <c r="I17" i="1"/>
  <c r="J17" i="1"/>
  <c r="K17" i="1"/>
  <c r="L17" i="1"/>
  <c r="N17" i="1"/>
  <c r="O17" i="1"/>
  <c r="C18" i="1"/>
  <c r="D18" i="1"/>
  <c r="E18" i="1"/>
  <c r="F18" i="1"/>
  <c r="H18" i="1"/>
  <c r="I18" i="1"/>
  <c r="J18" i="1"/>
  <c r="K18" i="1"/>
  <c r="L18" i="1"/>
  <c r="N18" i="1"/>
  <c r="O18" i="1"/>
  <c r="C19" i="1"/>
  <c r="D19" i="1"/>
  <c r="E19" i="1"/>
  <c r="F19" i="1"/>
  <c r="H19" i="1"/>
  <c r="I19" i="1"/>
  <c r="J19" i="1"/>
  <c r="K19" i="1"/>
  <c r="L19" i="1"/>
  <c r="N19" i="1"/>
  <c r="C20" i="1"/>
  <c r="D20" i="1"/>
  <c r="E20" i="1"/>
  <c r="F20" i="1"/>
  <c r="H20" i="1"/>
  <c r="I20" i="1"/>
  <c r="J20" i="1"/>
  <c r="L20" i="1"/>
  <c r="N20" i="1"/>
  <c r="C22" i="1"/>
  <c r="D22" i="1"/>
  <c r="E22" i="1"/>
  <c r="F22" i="1"/>
  <c r="I22" i="1"/>
  <c r="J22" i="1"/>
  <c r="L22" i="1"/>
  <c r="D23" i="1"/>
  <c r="E23" i="1"/>
  <c r="F23" i="1"/>
  <c r="H23" i="1"/>
  <c r="J23" i="1"/>
  <c r="L23" i="1"/>
  <c r="C24" i="1"/>
  <c r="D24" i="1"/>
  <c r="E24" i="1"/>
  <c r="F24" i="1"/>
  <c r="H24" i="1"/>
  <c r="I24" i="1"/>
  <c r="J24" i="1"/>
  <c r="C25" i="1"/>
  <c r="D25" i="1"/>
  <c r="E25" i="1"/>
  <c r="F25" i="1"/>
  <c r="H25" i="1"/>
  <c r="I25" i="1"/>
  <c r="J25" i="1"/>
  <c r="K25" i="1"/>
  <c r="L25" i="1"/>
  <c r="N25" i="1"/>
  <c r="O25" i="1"/>
  <c r="C26" i="1"/>
  <c r="D26" i="1"/>
  <c r="E26" i="1"/>
  <c r="F26" i="1"/>
  <c r="H26" i="1"/>
  <c r="I26" i="1"/>
  <c r="J26" i="1"/>
  <c r="K26" i="1"/>
  <c r="L26" i="1"/>
  <c r="N26" i="1"/>
  <c r="O26" i="1"/>
  <c r="C27" i="1"/>
  <c r="D27" i="1"/>
  <c r="E27" i="1"/>
  <c r="F27" i="1"/>
  <c r="H27" i="1"/>
  <c r="I27" i="1"/>
  <c r="J27" i="1"/>
  <c r="K27" i="1"/>
  <c r="L27" i="1"/>
  <c r="N27" i="1"/>
  <c r="O27" i="1"/>
  <c r="C28" i="1"/>
  <c r="D28" i="1"/>
  <c r="E28" i="1"/>
  <c r="F28" i="1"/>
  <c r="H28" i="1"/>
  <c r="I28" i="1"/>
  <c r="J28" i="1"/>
  <c r="K28" i="1"/>
  <c r="L28" i="1"/>
  <c r="N28" i="1"/>
  <c r="O28" i="1"/>
  <c r="C29" i="1"/>
  <c r="D29" i="1"/>
  <c r="E29" i="1"/>
  <c r="F29" i="1"/>
  <c r="H29" i="1"/>
  <c r="I29" i="1"/>
  <c r="J29" i="1"/>
  <c r="K29" i="1"/>
  <c r="L29" i="1"/>
  <c r="N29" i="1"/>
  <c r="O29" i="1"/>
  <c r="C30" i="1"/>
  <c r="D30" i="1"/>
  <c r="E30" i="1"/>
  <c r="F30" i="1"/>
  <c r="H30" i="1"/>
  <c r="I30" i="1"/>
  <c r="J30" i="1"/>
  <c r="K30" i="1"/>
  <c r="L30" i="1"/>
  <c r="N30" i="1"/>
  <c r="O30" i="1"/>
  <c r="C31" i="1"/>
  <c r="D31" i="1"/>
  <c r="E31" i="1"/>
  <c r="F31" i="1"/>
  <c r="H31" i="1"/>
  <c r="I31" i="1"/>
  <c r="J31" i="1"/>
  <c r="K31" i="1"/>
  <c r="L31" i="1"/>
  <c r="N31" i="1"/>
  <c r="O31" i="1"/>
  <c r="C32" i="1"/>
  <c r="D32" i="1"/>
  <c r="E32" i="1"/>
  <c r="F32" i="1"/>
  <c r="H32" i="1"/>
  <c r="I32" i="1"/>
  <c r="J32" i="1"/>
  <c r="K32" i="1"/>
  <c r="L32" i="1"/>
  <c r="N32" i="1"/>
  <c r="O32" i="1"/>
  <c r="C33" i="1"/>
  <c r="D33" i="1"/>
  <c r="E33" i="1"/>
  <c r="F33" i="1"/>
  <c r="H33" i="1"/>
  <c r="I33" i="1"/>
  <c r="J33" i="1"/>
  <c r="L33" i="1"/>
  <c r="N33" i="1"/>
  <c r="C34" i="1"/>
  <c r="D34" i="1"/>
  <c r="E34" i="1"/>
  <c r="F34" i="1"/>
  <c r="H34" i="1"/>
  <c r="I34" i="1"/>
  <c r="J34" i="1"/>
  <c r="K34" i="1"/>
  <c r="L34" i="1"/>
  <c r="N34" i="1"/>
  <c r="C35" i="1"/>
  <c r="D35" i="1"/>
  <c r="E35" i="1"/>
  <c r="F35" i="1"/>
  <c r="H35" i="1"/>
  <c r="I35" i="1"/>
  <c r="K35" i="1"/>
  <c r="L35" i="1"/>
  <c r="N35" i="1"/>
  <c r="O35" i="1"/>
  <c r="C36" i="1"/>
  <c r="E36" i="1"/>
  <c r="F36" i="1"/>
  <c r="H36" i="1"/>
  <c r="I36" i="1"/>
  <c r="J36" i="1"/>
  <c r="L36" i="1"/>
  <c r="N36" i="1"/>
  <c r="C37" i="1"/>
  <c r="D37" i="1"/>
  <c r="E37" i="1"/>
  <c r="F37" i="1"/>
  <c r="H37" i="1"/>
  <c r="I37" i="1"/>
  <c r="J37" i="1"/>
  <c r="K37" i="1"/>
  <c r="L37" i="1"/>
  <c r="N37" i="1"/>
  <c r="O37" i="1"/>
  <c r="G11" i="18"/>
  <c r="K11" i="18" s="1"/>
  <c r="K11" i="1" s="1"/>
  <c r="AC38" i="4"/>
  <c r="K36" i="1"/>
  <c r="K33" i="1"/>
  <c r="K24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R19" i="1"/>
  <c r="Q20" i="1"/>
  <c r="R20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O15" i="1" l="1"/>
  <c r="O20" i="1"/>
  <c r="O34" i="1"/>
  <c r="O11" i="1"/>
  <c r="O33" i="1"/>
  <c r="O36" i="1"/>
  <c r="L11" i="1"/>
  <c r="G18" i="1"/>
  <c r="G16" i="1"/>
  <c r="G13" i="1"/>
  <c r="G35" i="1"/>
  <c r="G32" i="1"/>
  <c r="G30" i="1"/>
  <c r="G28" i="1"/>
  <c r="G26" i="1"/>
  <c r="G23" i="1"/>
  <c r="G22" i="1"/>
  <c r="G20" i="1"/>
  <c r="G37" i="1"/>
  <c r="G34" i="1"/>
  <c r="G31" i="1"/>
  <c r="G29" i="1"/>
  <c r="G27" i="1"/>
  <c r="G25" i="1"/>
  <c r="G24" i="1"/>
  <c r="G19" i="1"/>
  <c r="G17" i="1"/>
  <c r="G14" i="1"/>
  <c r="G12" i="1"/>
  <c r="G11" i="1"/>
  <c r="G36" i="1"/>
  <c r="F43" i="1" s="1"/>
  <c r="G15" i="1"/>
  <c r="G33" i="1"/>
  <c r="AC39" i="27"/>
  <c r="AB39" i="27"/>
  <c r="AC38" i="27"/>
  <c r="AB38" i="27"/>
  <c r="AC37" i="27"/>
  <c r="AB37" i="27"/>
  <c r="AC36" i="27"/>
  <c r="AB36" i="27"/>
  <c r="AC35" i="27"/>
  <c r="AB35" i="27"/>
  <c r="AC34" i="27"/>
  <c r="AB34" i="27"/>
  <c r="AC33" i="27"/>
  <c r="AB33" i="27"/>
  <c r="AC32" i="27"/>
  <c r="AB32" i="27"/>
  <c r="AC31" i="27"/>
  <c r="AB31" i="27"/>
  <c r="AC30" i="27"/>
  <c r="AB30" i="27"/>
  <c r="AC29" i="27"/>
  <c r="AB29" i="27"/>
  <c r="AC28" i="27"/>
  <c r="AB28" i="27"/>
  <c r="AC27" i="27"/>
  <c r="AB27" i="27"/>
  <c r="AC26" i="27"/>
  <c r="AB26" i="27"/>
  <c r="AC25" i="27"/>
  <c r="AB25" i="27"/>
  <c r="AC24" i="27"/>
  <c r="AB24" i="27"/>
  <c r="AC23" i="27"/>
  <c r="AB23" i="27"/>
  <c r="AC22" i="27"/>
  <c r="AB22" i="27"/>
  <c r="AC21" i="27"/>
  <c r="AB21" i="27"/>
  <c r="AC20" i="27"/>
  <c r="AB20" i="27"/>
  <c r="AC19" i="27"/>
  <c r="AB19" i="27"/>
  <c r="AC18" i="27"/>
  <c r="AB18" i="27"/>
  <c r="AC17" i="27"/>
  <c r="AB17" i="27"/>
  <c r="AC16" i="27"/>
  <c r="AB16" i="27"/>
  <c r="AC15" i="27"/>
  <c r="AB15" i="27"/>
  <c r="AC14" i="27"/>
  <c r="AB14" i="27"/>
  <c r="AC13" i="27"/>
  <c r="AB13" i="27"/>
  <c r="AC12" i="27"/>
  <c r="AB12" i="27"/>
  <c r="AC11" i="27"/>
  <c r="AB11" i="27"/>
  <c r="AD39" i="26"/>
  <c r="AC39" i="26"/>
  <c r="AD37" i="26"/>
  <c r="AC37" i="26"/>
  <c r="AD36" i="26"/>
  <c r="AC36" i="26"/>
  <c r="AD35" i="26"/>
  <c r="AC35" i="26"/>
  <c r="AD34" i="26"/>
  <c r="AC34" i="26"/>
  <c r="AD33" i="26"/>
  <c r="AC33" i="26"/>
  <c r="AD32" i="26"/>
  <c r="AC32" i="26"/>
  <c r="AD31" i="26"/>
  <c r="AC31" i="26"/>
  <c r="AD30" i="26"/>
  <c r="AC30" i="26"/>
  <c r="AD29" i="26"/>
  <c r="AC29" i="26"/>
  <c r="AD28" i="26"/>
  <c r="AC28" i="26"/>
  <c r="AD27" i="26"/>
  <c r="AC27" i="26"/>
  <c r="AD26" i="26"/>
  <c r="AC26" i="26"/>
  <c r="AD25" i="26"/>
  <c r="AC25" i="26"/>
  <c r="AD24" i="26"/>
  <c r="AC24" i="26"/>
  <c r="AD23" i="26"/>
  <c r="AC23" i="26"/>
  <c r="AD22" i="26"/>
  <c r="AC22" i="26"/>
  <c r="AD21" i="26"/>
  <c r="AC21" i="26"/>
  <c r="AD20" i="26"/>
  <c r="AC20" i="26"/>
  <c r="AD19" i="26"/>
  <c r="AC19" i="26"/>
  <c r="AD18" i="26"/>
  <c r="AC18" i="26"/>
  <c r="AD17" i="26"/>
  <c r="AC17" i="26"/>
  <c r="AD16" i="26"/>
  <c r="AC16" i="26"/>
  <c r="AD15" i="26"/>
  <c r="AC15" i="26"/>
  <c r="AD14" i="26"/>
  <c r="AC14" i="26"/>
  <c r="AD13" i="26"/>
  <c r="AC13" i="26"/>
  <c r="AD12" i="26"/>
  <c r="AC12" i="26"/>
  <c r="AD11" i="26"/>
  <c r="AC11" i="26"/>
  <c r="AD39" i="25"/>
  <c r="AC39" i="25"/>
  <c r="AD37" i="25"/>
  <c r="AC37" i="25"/>
  <c r="AD36" i="25"/>
  <c r="AC36" i="25"/>
  <c r="AD35" i="25"/>
  <c r="AC35" i="25"/>
  <c r="AD34" i="25"/>
  <c r="AC34" i="25"/>
  <c r="AD33" i="25"/>
  <c r="AC33" i="25"/>
  <c r="AD32" i="25"/>
  <c r="AC32" i="25"/>
  <c r="AD31" i="25"/>
  <c r="AC31" i="25"/>
  <c r="AD30" i="25"/>
  <c r="AC30" i="25"/>
  <c r="AD29" i="25"/>
  <c r="AC29" i="25"/>
  <c r="AD28" i="25"/>
  <c r="AC28" i="25"/>
  <c r="AD27" i="25"/>
  <c r="AC27" i="25"/>
  <c r="AD26" i="25"/>
  <c r="AC26" i="25"/>
  <c r="AD25" i="25"/>
  <c r="AC25" i="25"/>
  <c r="AD24" i="25"/>
  <c r="AC24" i="25"/>
  <c r="AD23" i="25"/>
  <c r="AC23" i="25"/>
  <c r="AD22" i="25"/>
  <c r="AC22" i="25"/>
  <c r="AD21" i="25"/>
  <c r="AC21" i="25"/>
  <c r="AD20" i="25"/>
  <c r="AC20" i="25"/>
  <c r="AD19" i="25"/>
  <c r="AC19" i="25"/>
  <c r="AD18" i="25"/>
  <c r="AC18" i="25"/>
  <c r="AD17" i="25"/>
  <c r="AC17" i="25"/>
  <c r="AD16" i="25"/>
  <c r="AC16" i="25"/>
  <c r="AD15" i="25"/>
  <c r="AC15" i="25"/>
  <c r="AD14" i="25"/>
  <c r="AC14" i="25"/>
  <c r="AD13" i="25"/>
  <c r="AC13" i="25"/>
  <c r="AD12" i="25"/>
  <c r="AC12" i="25"/>
  <c r="AD11" i="25"/>
  <c r="AC11" i="25"/>
  <c r="AC39" i="24"/>
  <c r="AB39" i="24"/>
  <c r="AC37" i="24"/>
  <c r="AB37" i="24"/>
  <c r="AC36" i="24"/>
  <c r="AB36" i="24"/>
  <c r="AC35" i="24"/>
  <c r="AB35" i="24"/>
  <c r="AC34" i="24"/>
  <c r="AB34" i="24"/>
  <c r="AC33" i="24"/>
  <c r="AB33" i="24"/>
  <c r="AC32" i="24"/>
  <c r="AB32" i="24"/>
  <c r="AC31" i="24"/>
  <c r="AB31" i="24"/>
  <c r="AC30" i="24"/>
  <c r="AB30" i="24"/>
  <c r="AC29" i="24"/>
  <c r="AB29" i="24"/>
  <c r="AC28" i="24"/>
  <c r="AB28" i="24"/>
  <c r="AC27" i="24"/>
  <c r="AB27" i="24"/>
  <c r="AC26" i="24"/>
  <c r="AB26" i="24"/>
  <c r="AC25" i="24"/>
  <c r="AB25" i="24"/>
  <c r="AC24" i="24"/>
  <c r="AB24" i="24"/>
  <c r="AC23" i="24"/>
  <c r="AB23" i="24"/>
  <c r="AC22" i="24"/>
  <c r="AB22" i="24"/>
  <c r="AC21" i="24"/>
  <c r="AB21" i="24"/>
  <c r="AC20" i="24"/>
  <c r="AB20" i="24"/>
  <c r="AC19" i="24"/>
  <c r="AB19" i="24"/>
  <c r="AC18" i="24"/>
  <c r="AB18" i="24"/>
  <c r="AC17" i="24"/>
  <c r="AB17" i="24"/>
  <c r="AC16" i="24"/>
  <c r="AB16" i="24"/>
  <c r="AC15" i="24"/>
  <c r="AB15" i="24"/>
  <c r="AC14" i="24"/>
  <c r="AB14" i="24"/>
  <c r="AC13" i="24"/>
  <c r="AB13" i="24"/>
  <c r="AC12" i="24"/>
  <c r="AB12" i="24"/>
  <c r="AC11" i="24"/>
  <c r="AB11" i="24"/>
  <c r="AC39" i="23"/>
  <c r="AB39" i="23"/>
  <c r="AC37" i="23"/>
  <c r="AB37" i="23"/>
  <c r="AC36" i="23"/>
  <c r="AB36" i="23"/>
  <c r="AC35" i="23"/>
  <c r="AB35" i="23"/>
  <c r="AC34" i="23"/>
  <c r="AB34" i="23"/>
  <c r="AC33" i="23"/>
  <c r="AB33" i="23"/>
  <c r="AC32" i="23"/>
  <c r="AB32" i="23"/>
  <c r="AC31" i="23"/>
  <c r="AB31" i="23"/>
  <c r="AC30" i="23"/>
  <c r="AB30" i="23"/>
  <c r="AC29" i="23"/>
  <c r="AB29" i="23"/>
  <c r="AC28" i="23"/>
  <c r="AB28" i="23"/>
  <c r="AC27" i="23"/>
  <c r="AB27" i="23"/>
  <c r="AC26" i="23"/>
  <c r="AB26" i="23"/>
  <c r="AC25" i="23"/>
  <c r="AB25" i="23"/>
  <c r="AC24" i="23"/>
  <c r="AB24" i="23"/>
  <c r="AC23" i="23"/>
  <c r="AB23" i="23"/>
  <c r="AC22" i="23"/>
  <c r="AB22" i="23"/>
  <c r="AC21" i="23"/>
  <c r="AB21" i="23"/>
  <c r="AC20" i="23"/>
  <c r="AB20" i="23"/>
  <c r="AC19" i="23"/>
  <c r="AB19" i="23"/>
  <c r="AC18" i="23"/>
  <c r="AB18" i="23"/>
  <c r="AC17" i="23"/>
  <c r="AB17" i="23"/>
  <c r="AC16" i="23"/>
  <c r="AB16" i="23"/>
  <c r="AC15" i="23"/>
  <c r="AB15" i="23"/>
  <c r="AC14" i="23"/>
  <c r="AB14" i="23"/>
  <c r="AC13" i="23"/>
  <c r="AB13" i="23"/>
  <c r="AC12" i="23"/>
  <c r="AB12" i="23"/>
  <c r="AC11" i="23"/>
  <c r="AB11" i="23"/>
  <c r="AC39" i="22"/>
  <c r="AB39" i="22"/>
  <c r="AC37" i="22"/>
  <c r="AB37" i="22"/>
  <c r="AC36" i="22"/>
  <c r="AB36" i="22"/>
  <c r="AC35" i="22"/>
  <c r="AB35" i="22"/>
  <c r="AC34" i="22"/>
  <c r="AB34" i="22"/>
  <c r="AC33" i="22"/>
  <c r="AB33" i="22"/>
  <c r="AC32" i="22"/>
  <c r="AB32" i="22"/>
  <c r="AC31" i="22"/>
  <c r="AB31" i="22"/>
  <c r="AC30" i="22"/>
  <c r="AB30" i="22"/>
  <c r="AC29" i="22"/>
  <c r="AB29" i="22"/>
  <c r="AC28" i="22"/>
  <c r="AB28" i="22"/>
  <c r="AC27" i="22"/>
  <c r="AB27" i="22"/>
  <c r="AC26" i="22"/>
  <c r="AB26" i="22"/>
  <c r="AC25" i="22"/>
  <c r="AB25" i="22"/>
  <c r="AC24" i="22"/>
  <c r="AB24" i="22"/>
  <c r="AC23" i="22"/>
  <c r="AB23" i="22"/>
  <c r="AC22" i="22"/>
  <c r="AB22" i="22"/>
  <c r="AC21" i="22"/>
  <c r="AB21" i="22"/>
  <c r="AC20" i="22"/>
  <c r="AB20" i="22"/>
  <c r="AC19" i="22"/>
  <c r="AB19" i="22"/>
  <c r="AC18" i="22"/>
  <c r="AB18" i="22"/>
  <c r="AC17" i="22"/>
  <c r="AB17" i="22"/>
  <c r="AC16" i="22"/>
  <c r="AB16" i="22"/>
  <c r="AC15" i="22"/>
  <c r="AB15" i="22"/>
  <c r="AC14" i="22"/>
  <c r="AB14" i="22"/>
  <c r="AC13" i="22"/>
  <c r="AB13" i="22"/>
  <c r="AC12" i="22"/>
  <c r="AB12" i="22"/>
  <c r="AC11" i="22"/>
  <c r="AB11" i="22"/>
  <c r="AC39" i="21"/>
  <c r="AB39" i="21"/>
  <c r="AC37" i="21"/>
  <c r="AB37" i="21"/>
  <c r="AC36" i="21"/>
  <c r="AB36" i="21"/>
  <c r="AC35" i="21"/>
  <c r="AB35" i="21"/>
  <c r="AC34" i="21"/>
  <c r="AB34" i="21"/>
  <c r="AC33" i="21"/>
  <c r="AB33" i="21"/>
  <c r="AC32" i="21"/>
  <c r="AB32" i="21"/>
  <c r="AC31" i="21"/>
  <c r="AB31" i="21"/>
  <c r="AC30" i="21"/>
  <c r="AB30" i="21"/>
  <c r="AC29" i="21"/>
  <c r="AB29" i="21"/>
  <c r="AC28" i="21"/>
  <c r="AB28" i="21"/>
  <c r="AC27" i="21"/>
  <c r="AB27" i="21"/>
  <c r="AC26" i="21"/>
  <c r="AB26" i="21"/>
  <c r="AC25" i="21"/>
  <c r="AB25" i="21"/>
  <c r="AC24" i="21"/>
  <c r="AB24" i="21"/>
  <c r="AC23" i="21"/>
  <c r="AB23" i="21"/>
  <c r="AC22" i="21"/>
  <c r="AB22" i="21"/>
  <c r="AC21" i="21"/>
  <c r="AB21" i="21"/>
  <c r="AC20" i="21"/>
  <c r="AB20" i="21"/>
  <c r="AC19" i="21"/>
  <c r="AB19" i="21"/>
  <c r="AC18" i="21"/>
  <c r="AB18" i="21"/>
  <c r="AC17" i="21"/>
  <c r="AB17" i="21"/>
  <c r="AC16" i="21"/>
  <c r="AB16" i="21"/>
  <c r="AC15" i="21"/>
  <c r="AB15" i="21"/>
  <c r="AC14" i="21"/>
  <c r="AB14" i="21"/>
  <c r="AC13" i="21"/>
  <c r="AB13" i="21"/>
  <c r="AC12" i="21"/>
  <c r="AB12" i="21"/>
  <c r="AC11" i="21"/>
  <c r="AB11" i="21"/>
  <c r="AD39" i="20"/>
  <c r="AC39" i="20"/>
  <c r="AD37" i="20"/>
  <c r="AC37" i="20"/>
  <c r="AD36" i="20"/>
  <c r="AC36" i="20"/>
  <c r="AD35" i="20"/>
  <c r="AC35" i="20"/>
  <c r="AD34" i="20"/>
  <c r="AC34" i="20"/>
  <c r="AD33" i="20"/>
  <c r="AC33" i="20"/>
  <c r="AD32" i="20"/>
  <c r="AC32" i="20"/>
  <c r="AD31" i="20"/>
  <c r="AC31" i="20"/>
  <c r="AD30" i="20"/>
  <c r="AC30" i="20"/>
  <c r="AD29" i="20"/>
  <c r="AC29" i="20"/>
  <c r="AD28" i="20"/>
  <c r="AC28" i="20"/>
  <c r="AD27" i="20"/>
  <c r="AC27" i="20"/>
  <c r="AD26" i="20"/>
  <c r="AC26" i="20"/>
  <c r="AD25" i="20"/>
  <c r="AC25" i="20"/>
  <c r="AD24" i="20"/>
  <c r="AC24" i="20"/>
  <c r="AD23" i="20"/>
  <c r="AC23" i="20"/>
  <c r="AD22" i="20"/>
  <c r="AC22" i="20"/>
  <c r="AD21" i="20"/>
  <c r="AC21" i="20"/>
  <c r="AD20" i="20"/>
  <c r="AC20" i="20"/>
  <c r="AD19" i="20"/>
  <c r="AC19" i="20"/>
  <c r="AD18" i="20"/>
  <c r="AC18" i="20"/>
  <c r="AD17" i="20"/>
  <c r="AC17" i="20"/>
  <c r="AD16" i="20"/>
  <c r="AC16" i="20"/>
  <c r="AD15" i="20"/>
  <c r="AC15" i="20"/>
  <c r="AD14" i="20"/>
  <c r="AC14" i="20"/>
  <c r="AD13" i="20"/>
  <c r="AC13" i="20"/>
  <c r="AD12" i="20"/>
  <c r="AC12" i="20"/>
  <c r="AD11" i="20"/>
  <c r="AC11" i="20"/>
  <c r="AC39" i="19"/>
  <c r="AB39" i="19"/>
  <c r="AC37" i="19"/>
  <c r="AB37" i="19"/>
  <c r="AC36" i="19"/>
  <c r="AB36" i="19"/>
  <c r="AC35" i="19"/>
  <c r="AB35" i="19"/>
  <c r="AC34" i="19"/>
  <c r="AB34" i="19"/>
  <c r="AC33" i="19"/>
  <c r="AB33" i="19"/>
  <c r="AC32" i="19"/>
  <c r="AB32" i="19"/>
  <c r="AC31" i="19"/>
  <c r="AB31" i="19"/>
  <c r="AC30" i="19"/>
  <c r="AB30" i="19"/>
  <c r="AC29" i="19"/>
  <c r="AB29" i="19"/>
  <c r="AC28" i="19"/>
  <c r="AB28" i="19"/>
  <c r="AC27" i="19"/>
  <c r="AB27" i="19"/>
  <c r="AC26" i="19"/>
  <c r="AB26" i="19"/>
  <c r="AC25" i="19"/>
  <c r="AB25" i="19"/>
  <c r="AC24" i="19"/>
  <c r="AB24" i="19"/>
  <c r="AC23" i="19"/>
  <c r="AB23" i="19"/>
  <c r="AC22" i="19"/>
  <c r="AB22" i="19"/>
  <c r="AC21" i="19"/>
  <c r="AB21" i="19"/>
  <c r="AC20" i="19"/>
  <c r="AB20" i="19"/>
  <c r="AC19" i="19"/>
  <c r="AB19" i="19"/>
  <c r="AC18" i="19"/>
  <c r="AB18" i="19"/>
  <c r="AC17" i="19"/>
  <c r="AB17" i="19"/>
  <c r="AC16" i="19"/>
  <c r="AB16" i="19"/>
  <c r="AC15" i="19"/>
  <c r="AB15" i="19"/>
  <c r="AC14" i="19"/>
  <c r="AB14" i="19"/>
  <c r="AC13" i="19"/>
  <c r="AB13" i="19"/>
  <c r="AC12" i="19"/>
  <c r="AB12" i="19"/>
  <c r="AC11" i="19"/>
  <c r="AB11" i="19"/>
  <c r="AC39" i="18"/>
  <c r="AB39" i="18"/>
  <c r="AC37" i="18"/>
  <c r="AB37" i="18"/>
  <c r="AC36" i="18"/>
  <c r="AB36" i="18"/>
  <c r="AC35" i="18"/>
  <c r="AB35" i="18"/>
  <c r="AC34" i="18"/>
  <c r="AB34" i="18"/>
  <c r="AC33" i="18"/>
  <c r="AB33" i="18"/>
  <c r="AC32" i="18"/>
  <c r="AB32" i="18"/>
  <c r="AC31" i="18"/>
  <c r="AB31" i="18"/>
  <c r="AC30" i="18"/>
  <c r="AB30" i="18"/>
  <c r="AC29" i="18"/>
  <c r="AB29" i="18"/>
  <c r="AC28" i="18"/>
  <c r="AB28" i="18"/>
  <c r="AC27" i="18"/>
  <c r="AB27" i="18"/>
  <c r="AC26" i="18"/>
  <c r="AB26" i="18"/>
  <c r="AC25" i="18"/>
  <c r="AB25" i="18"/>
  <c r="AC24" i="18"/>
  <c r="AB24" i="18"/>
  <c r="AC23" i="18"/>
  <c r="AB23" i="18"/>
  <c r="AC22" i="18"/>
  <c r="AB22" i="18"/>
  <c r="AC21" i="18"/>
  <c r="AB21" i="18"/>
  <c r="AC20" i="18"/>
  <c r="AB20" i="18"/>
  <c r="AC19" i="18"/>
  <c r="AB19" i="18"/>
  <c r="AC18" i="18"/>
  <c r="AB18" i="18"/>
  <c r="AC17" i="18"/>
  <c r="AB17" i="18"/>
  <c r="AC16" i="18"/>
  <c r="AB16" i="18"/>
  <c r="AC15" i="18"/>
  <c r="AB15" i="18"/>
  <c r="AC14" i="18"/>
  <c r="AB14" i="18"/>
  <c r="AC13" i="18"/>
  <c r="AB13" i="18"/>
  <c r="AC12" i="18"/>
  <c r="AB12" i="18"/>
  <c r="AC11" i="18"/>
  <c r="AB11" i="18"/>
  <c r="AC39" i="17"/>
  <c r="AB39" i="17"/>
  <c r="AC37" i="17"/>
  <c r="AB37" i="17"/>
  <c r="AC36" i="17"/>
  <c r="AB36" i="17"/>
  <c r="AC35" i="17"/>
  <c r="AB35" i="17"/>
  <c r="AC34" i="17"/>
  <c r="AB34" i="17"/>
  <c r="AC33" i="17"/>
  <c r="AB33" i="17"/>
  <c r="AC32" i="17"/>
  <c r="AB32" i="17"/>
  <c r="AC31" i="17"/>
  <c r="AB31" i="17"/>
  <c r="AC30" i="17"/>
  <c r="AB30" i="17"/>
  <c r="AC29" i="17"/>
  <c r="AB29" i="17"/>
  <c r="AC28" i="17"/>
  <c r="AB28" i="17"/>
  <c r="AC27" i="17"/>
  <c r="AB27" i="17"/>
  <c r="AC26" i="17"/>
  <c r="AB26" i="17"/>
  <c r="AC25" i="17"/>
  <c r="AB25" i="17"/>
  <c r="AC24" i="17"/>
  <c r="AB24" i="17"/>
  <c r="AC23" i="17"/>
  <c r="AB23" i="17"/>
  <c r="AC22" i="17"/>
  <c r="AB22" i="17"/>
  <c r="AC21" i="17"/>
  <c r="AB21" i="17"/>
  <c r="AC20" i="17"/>
  <c r="AB20" i="17"/>
  <c r="AC19" i="17"/>
  <c r="AB19" i="17"/>
  <c r="AC18" i="17"/>
  <c r="AB18" i="17"/>
  <c r="AC17" i="17"/>
  <c r="AB17" i="17"/>
  <c r="AC16" i="17"/>
  <c r="AB16" i="17"/>
  <c r="AC15" i="17"/>
  <c r="AB15" i="17"/>
  <c r="AC14" i="17"/>
  <c r="AB14" i="17"/>
  <c r="AC13" i="17"/>
  <c r="AB13" i="17"/>
  <c r="AC12" i="17"/>
  <c r="AB12" i="17"/>
  <c r="AC11" i="17"/>
  <c r="AB11" i="17"/>
  <c r="AC37" i="16"/>
  <c r="AB37" i="16"/>
  <c r="AC36" i="16"/>
  <c r="AB36" i="16"/>
  <c r="AC35" i="16"/>
  <c r="AB35" i="16"/>
  <c r="AC34" i="16"/>
  <c r="AB34" i="16"/>
  <c r="AC33" i="16"/>
  <c r="AB33" i="16"/>
  <c r="AC32" i="16"/>
  <c r="AB32" i="16"/>
  <c r="AC31" i="16"/>
  <c r="AB31" i="16"/>
  <c r="AC30" i="16"/>
  <c r="AB30" i="16"/>
  <c r="AC29" i="16"/>
  <c r="AB29" i="16"/>
  <c r="AC28" i="16"/>
  <c r="AB28" i="16"/>
  <c r="AC27" i="16"/>
  <c r="AB27" i="16"/>
  <c r="AC26" i="16"/>
  <c r="AB26" i="16"/>
  <c r="AC25" i="16"/>
  <c r="AB25" i="16"/>
  <c r="AC24" i="16"/>
  <c r="AB24" i="16"/>
  <c r="AC23" i="16"/>
  <c r="AB23" i="16"/>
  <c r="AC22" i="16"/>
  <c r="AB22" i="16"/>
  <c r="AC21" i="16"/>
  <c r="AB21" i="16"/>
  <c r="AC20" i="16"/>
  <c r="AB20" i="16"/>
  <c r="AC19" i="16"/>
  <c r="AB19" i="16"/>
  <c r="AC18" i="16"/>
  <c r="AB18" i="16"/>
  <c r="AC17" i="16"/>
  <c r="AB17" i="16"/>
  <c r="AC16" i="16"/>
  <c r="AB16" i="16"/>
  <c r="AC15" i="16"/>
  <c r="AB15" i="16"/>
  <c r="AC14" i="16"/>
  <c r="AB14" i="16"/>
  <c r="AC13" i="16"/>
  <c r="AB13" i="16"/>
  <c r="AC12" i="16"/>
  <c r="AB12" i="16"/>
  <c r="AC11" i="16"/>
  <c r="AB11" i="16"/>
  <c r="AC39" i="15"/>
  <c r="AB39" i="15"/>
  <c r="AC37" i="15"/>
  <c r="AB37" i="15"/>
  <c r="AC36" i="15"/>
  <c r="AB36" i="15"/>
  <c r="AC35" i="15"/>
  <c r="AB35" i="15"/>
  <c r="AC34" i="15"/>
  <c r="AB34" i="15"/>
  <c r="AC33" i="15"/>
  <c r="AB33" i="15"/>
  <c r="AC32" i="15"/>
  <c r="AB32" i="15"/>
  <c r="AC31" i="15"/>
  <c r="AB31" i="15"/>
  <c r="AC30" i="15"/>
  <c r="AB30" i="15"/>
  <c r="AC29" i="15"/>
  <c r="AB29" i="15"/>
  <c r="AC28" i="15"/>
  <c r="AB28" i="15"/>
  <c r="AC27" i="15"/>
  <c r="AB27" i="15"/>
  <c r="AC26" i="15"/>
  <c r="AB26" i="15"/>
  <c r="AC25" i="15"/>
  <c r="AB25" i="15"/>
  <c r="AC24" i="15"/>
  <c r="AB24" i="15"/>
  <c r="AC23" i="15"/>
  <c r="AB23" i="15"/>
  <c r="AC22" i="15"/>
  <c r="AB22" i="15"/>
  <c r="AC21" i="15"/>
  <c r="AB21" i="15"/>
  <c r="AC20" i="15"/>
  <c r="AB20" i="15"/>
  <c r="AC19" i="15"/>
  <c r="AB19" i="15"/>
  <c r="AC18" i="15"/>
  <c r="AB18" i="15"/>
  <c r="AC17" i="15"/>
  <c r="AB17" i="15"/>
  <c r="AC16" i="15"/>
  <c r="AB16" i="15"/>
  <c r="AC15" i="15"/>
  <c r="AB15" i="15"/>
  <c r="AC14" i="15"/>
  <c r="AB14" i="15"/>
  <c r="AC13" i="15"/>
  <c r="AB13" i="15"/>
  <c r="AC12" i="15"/>
  <c r="AB12" i="15"/>
  <c r="AC11" i="15"/>
  <c r="AB11" i="15"/>
  <c r="AD39" i="14"/>
  <c r="AC39" i="14"/>
  <c r="AD37" i="14"/>
  <c r="AC37" i="14"/>
  <c r="AD36" i="14"/>
  <c r="AC36" i="14"/>
  <c r="AD35" i="14"/>
  <c r="AC35" i="14"/>
  <c r="AD34" i="14"/>
  <c r="AC34" i="14"/>
  <c r="AD33" i="14"/>
  <c r="AC33" i="14"/>
  <c r="AD32" i="14"/>
  <c r="AC32" i="14"/>
  <c r="AD31" i="14"/>
  <c r="AC31" i="14"/>
  <c r="AD30" i="14"/>
  <c r="AC30" i="14"/>
  <c r="AD22" i="14"/>
  <c r="AC22" i="14"/>
  <c r="AD21" i="14"/>
  <c r="AC21" i="14"/>
  <c r="AD20" i="14"/>
  <c r="AC20" i="14"/>
  <c r="AD19" i="14"/>
  <c r="AC19" i="14"/>
  <c r="AD18" i="14"/>
  <c r="AC18" i="14"/>
  <c r="AD17" i="14"/>
  <c r="AC17" i="14"/>
  <c r="AD16" i="14"/>
  <c r="AC16" i="14"/>
  <c r="AD15" i="14"/>
  <c r="AC15" i="14"/>
  <c r="AD14" i="14"/>
  <c r="AC14" i="14"/>
  <c r="AD13" i="14"/>
  <c r="AC13" i="14"/>
  <c r="AD12" i="14"/>
  <c r="AC12" i="14"/>
  <c r="AD11" i="14"/>
  <c r="AC11" i="14"/>
  <c r="AD39" i="13"/>
  <c r="AC39" i="13"/>
  <c r="AD37" i="13"/>
  <c r="AC37" i="13"/>
  <c r="AD36" i="13"/>
  <c r="AC36" i="13"/>
  <c r="AD35" i="13"/>
  <c r="AC35" i="13"/>
  <c r="AD34" i="13"/>
  <c r="AC34" i="13"/>
  <c r="AD33" i="13"/>
  <c r="AC33" i="13"/>
  <c r="AD32" i="13"/>
  <c r="AC32" i="13"/>
  <c r="AD31" i="13"/>
  <c r="AC31" i="13"/>
  <c r="AD30" i="13"/>
  <c r="AC30" i="13"/>
  <c r="AD29" i="13"/>
  <c r="AC29" i="13"/>
  <c r="AD28" i="13"/>
  <c r="AC28" i="13"/>
  <c r="AD27" i="13"/>
  <c r="AC27" i="13"/>
  <c r="AD11" i="13"/>
  <c r="AC11" i="13"/>
  <c r="AG39" i="12"/>
  <c r="AF39" i="12"/>
  <c r="AG37" i="12"/>
  <c r="AF37" i="12"/>
  <c r="AG36" i="12"/>
  <c r="AF36" i="12"/>
  <c r="AG35" i="12"/>
  <c r="AF35" i="12"/>
  <c r="AG34" i="12"/>
  <c r="AF34" i="12"/>
  <c r="AG33" i="12"/>
  <c r="AF33" i="12"/>
  <c r="AG32" i="12"/>
  <c r="AF32" i="12"/>
  <c r="AG31" i="12"/>
  <c r="AF31" i="12"/>
  <c r="AG30" i="12"/>
  <c r="AF30" i="12"/>
  <c r="AG29" i="12"/>
  <c r="AF29" i="12"/>
  <c r="AG28" i="12"/>
  <c r="AF28" i="12"/>
  <c r="AG27" i="12"/>
  <c r="AF27" i="12"/>
  <c r="AG26" i="12"/>
  <c r="AF26" i="12"/>
  <c r="AG25" i="12"/>
  <c r="AF25" i="12"/>
  <c r="AG24" i="12"/>
  <c r="AF24" i="12"/>
  <c r="AG23" i="12"/>
  <c r="AF23" i="12"/>
  <c r="AG22" i="12"/>
  <c r="AF22" i="12"/>
  <c r="AG21" i="12"/>
  <c r="AF21" i="12"/>
  <c r="AG20" i="12"/>
  <c r="AF20" i="12"/>
  <c r="AG19" i="12"/>
  <c r="AF19" i="12"/>
  <c r="AG18" i="12"/>
  <c r="AF18" i="12"/>
  <c r="AG17" i="12"/>
  <c r="AF17" i="12"/>
  <c r="AG16" i="12"/>
  <c r="AF16" i="12"/>
  <c r="AG15" i="12"/>
  <c r="AF15" i="12"/>
  <c r="AG14" i="12"/>
  <c r="AF14" i="12"/>
  <c r="AG13" i="12"/>
  <c r="AF13" i="12"/>
  <c r="AG12" i="12"/>
  <c r="AF12" i="12"/>
  <c r="AG11" i="12"/>
  <c r="AF11" i="12"/>
  <c r="AD39" i="11"/>
  <c r="AC39" i="11"/>
  <c r="AD37" i="11"/>
  <c r="AC37" i="11"/>
  <c r="AD36" i="11"/>
  <c r="AC36" i="11"/>
  <c r="AD35" i="11"/>
  <c r="AC35" i="11"/>
  <c r="AD34" i="11"/>
  <c r="AC34" i="11"/>
  <c r="AD33" i="11"/>
  <c r="AC33" i="11"/>
  <c r="AD32" i="11"/>
  <c r="AC32" i="11"/>
  <c r="AD31" i="11"/>
  <c r="AC31" i="11"/>
  <c r="AD30" i="11"/>
  <c r="AC30" i="11"/>
  <c r="AD29" i="11"/>
  <c r="AC29" i="11"/>
  <c r="AD28" i="11"/>
  <c r="AC28" i="11"/>
  <c r="AD27" i="11"/>
  <c r="AC27" i="11"/>
  <c r="AD26" i="11"/>
  <c r="AC26" i="11"/>
  <c r="AD25" i="11"/>
  <c r="AC25" i="11"/>
  <c r="AD24" i="11"/>
  <c r="AC24" i="11"/>
  <c r="AD23" i="11"/>
  <c r="AC23" i="11"/>
  <c r="AD22" i="11"/>
  <c r="AC22" i="11"/>
  <c r="AD21" i="11"/>
  <c r="AC21" i="11"/>
  <c r="AD20" i="11"/>
  <c r="AC20" i="11"/>
  <c r="AD19" i="11"/>
  <c r="AC19" i="11"/>
  <c r="AD18" i="11"/>
  <c r="AC18" i="11"/>
  <c r="AD17" i="11"/>
  <c r="AC17" i="11"/>
  <c r="AD16" i="11"/>
  <c r="AC16" i="11"/>
  <c r="AD15" i="11"/>
  <c r="AC15" i="11"/>
  <c r="AD14" i="11"/>
  <c r="AC14" i="11"/>
  <c r="AD13" i="11"/>
  <c r="AC13" i="11"/>
  <c r="AD12" i="11"/>
  <c r="AC12" i="11"/>
  <c r="AD11" i="11"/>
  <c r="AC11" i="11"/>
  <c r="AD39" i="10"/>
  <c r="AC39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39" i="9"/>
  <c r="AC39" i="9"/>
  <c r="AD37" i="9"/>
  <c r="AC37" i="9"/>
  <c r="AD36" i="9"/>
  <c r="AC36" i="9"/>
  <c r="AD35" i="9"/>
  <c r="AC35" i="9"/>
  <c r="AD34" i="9"/>
  <c r="AC34" i="9"/>
  <c r="AD33" i="9"/>
  <c r="AC33" i="9"/>
  <c r="AD32" i="9"/>
  <c r="AC32" i="9"/>
  <c r="AD31" i="9"/>
  <c r="AC31" i="9"/>
  <c r="AD30" i="9"/>
  <c r="AC30" i="9"/>
  <c r="AD29" i="9"/>
  <c r="AC29" i="9"/>
  <c r="AD28" i="9"/>
  <c r="AC28" i="9"/>
  <c r="AD27" i="9"/>
  <c r="AC27" i="9"/>
  <c r="AD26" i="9"/>
  <c r="AC26" i="9"/>
  <c r="AD25" i="9"/>
  <c r="AC25" i="9"/>
  <c r="AD24" i="9"/>
  <c r="AC24" i="9"/>
  <c r="AD23" i="9"/>
  <c r="AC23" i="9"/>
  <c r="AD22" i="9"/>
  <c r="AC22" i="9"/>
  <c r="AD21" i="9"/>
  <c r="AC21" i="9"/>
  <c r="AD20" i="9"/>
  <c r="AC20" i="9"/>
  <c r="AD19" i="9"/>
  <c r="AC19" i="9"/>
  <c r="AD18" i="9"/>
  <c r="AC18" i="9"/>
  <c r="AD17" i="9"/>
  <c r="AC17" i="9"/>
  <c r="AD16" i="9"/>
  <c r="AC16" i="9"/>
  <c r="AD15" i="9"/>
  <c r="AC15" i="9"/>
  <c r="AD14" i="9"/>
  <c r="AC14" i="9"/>
  <c r="AD13" i="9"/>
  <c r="AC13" i="9"/>
  <c r="AD12" i="9"/>
  <c r="AC12" i="9"/>
  <c r="AD11" i="9"/>
  <c r="AC11" i="9"/>
  <c r="AD39" i="8"/>
  <c r="AC39" i="8"/>
  <c r="AD37" i="8"/>
  <c r="AC37" i="8"/>
  <c r="AD36" i="8"/>
  <c r="AC36" i="8"/>
  <c r="AD35" i="8"/>
  <c r="AC35" i="8"/>
  <c r="AD34" i="8"/>
  <c r="AC34" i="8"/>
  <c r="AD33" i="8"/>
  <c r="AC33" i="8"/>
  <c r="AD32" i="8"/>
  <c r="AC32" i="8"/>
  <c r="AD31" i="8"/>
  <c r="AC31" i="8"/>
  <c r="AD30" i="8"/>
  <c r="AC30" i="8"/>
  <c r="AD29" i="8"/>
  <c r="AC29" i="8"/>
  <c r="AD28" i="8"/>
  <c r="AC28" i="8"/>
  <c r="AD27" i="8"/>
  <c r="AC27" i="8"/>
  <c r="AD26" i="8"/>
  <c r="AC26" i="8"/>
  <c r="AD25" i="8"/>
  <c r="AC25" i="8"/>
  <c r="AD24" i="8"/>
  <c r="AC24" i="8"/>
  <c r="AD23" i="8"/>
  <c r="AC23" i="8"/>
  <c r="AD22" i="8"/>
  <c r="AC22" i="8"/>
  <c r="AD21" i="8"/>
  <c r="AC21" i="8"/>
  <c r="AD20" i="8"/>
  <c r="AC20" i="8"/>
  <c r="AD19" i="8"/>
  <c r="AC19" i="8"/>
  <c r="AD18" i="8"/>
  <c r="AC18" i="8"/>
  <c r="AD17" i="8"/>
  <c r="AC17" i="8"/>
  <c r="AD16" i="8"/>
  <c r="AC16" i="8"/>
  <c r="AD15" i="8"/>
  <c r="AC15" i="8"/>
  <c r="AD14" i="8"/>
  <c r="AC14" i="8"/>
  <c r="AD13" i="8"/>
  <c r="AC13" i="8"/>
  <c r="AD12" i="8"/>
  <c r="AC12" i="8"/>
  <c r="AD11" i="8"/>
  <c r="AC11" i="8"/>
  <c r="AC39" i="7"/>
  <c r="AB39" i="7"/>
  <c r="AC37" i="7"/>
  <c r="AB37" i="7"/>
  <c r="AC36" i="7"/>
  <c r="AB36" i="7"/>
  <c r="AC35" i="7"/>
  <c r="AB35" i="7"/>
  <c r="AC34" i="7"/>
  <c r="AB34" i="7"/>
  <c r="AC33" i="7"/>
  <c r="AB33" i="7"/>
  <c r="AC32" i="7"/>
  <c r="AB32" i="7"/>
  <c r="AC31" i="7"/>
  <c r="AB31" i="7"/>
  <c r="AC30" i="7"/>
  <c r="AB30" i="7"/>
  <c r="AC29" i="7"/>
  <c r="AB29" i="7"/>
  <c r="AC28" i="7"/>
  <c r="AB28" i="7"/>
  <c r="AC27" i="7"/>
  <c r="AB27" i="7"/>
  <c r="AC26" i="7"/>
  <c r="AB26" i="7"/>
  <c r="AC25" i="7"/>
  <c r="AB25" i="7"/>
  <c r="AC24" i="7"/>
  <c r="AB24" i="7"/>
  <c r="AC23" i="7"/>
  <c r="AB23" i="7"/>
  <c r="AC22" i="7"/>
  <c r="AB22" i="7"/>
  <c r="AC21" i="7"/>
  <c r="AB21" i="7"/>
  <c r="AC20" i="7"/>
  <c r="AB20" i="7"/>
  <c r="AC19" i="7"/>
  <c r="AB19" i="7"/>
  <c r="AC18" i="7"/>
  <c r="AB18" i="7"/>
  <c r="AC17" i="7"/>
  <c r="AB17" i="7"/>
  <c r="AC16" i="7"/>
  <c r="AB16" i="7"/>
  <c r="AC15" i="7"/>
  <c r="AB15" i="7"/>
  <c r="AC14" i="7"/>
  <c r="AB14" i="7"/>
  <c r="AC13" i="7"/>
  <c r="AB13" i="7"/>
  <c r="AC12" i="7"/>
  <c r="AB12" i="7"/>
  <c r="AC11" i="7"/>
  <c r="AB11" i="7"/>
  <c r="AE39" i="6"/>
  <c r="AD39" i="6"/>
  <c r="AE37" i="6"/>
  <c r="AD37" i="6"/>
  <c r="AE36" i="6"/>
  <c r="AD36" i="6"/>
  <c r="AE35" i="6"/>
  <c r="AD35" i="6"/>
  <c r="AE34" i="6"/>
  <c r="AD34" i="6"/>
  <c r="AE33" i="6"/>
  <c r="AD33" i="6"/>
  <c r="AE32" i="6"/>
  <c r="AD32" i="6"/>
  <c r="AE31" i="6"/>
  <c r="AD31" i="6"/>
  <c r="AE30" i="6"/>
  <c r="AD30" i="6"/>
  <c r="AE29" i="6"/>
  <c r="AD29" i="6"/>
  <c r="AE28" i="6"/>
  <c r="AD28" i="6"/>
  <c r="AE27" i="6"/>
  <c r="AD27" i="6"/>
  <c r="AE26" i="6"/>
  <c r="AD26" i="6"/>
  <c r="AE25" i="6"/>
  <c r="AD25" i="6"/>
  <c r="AE24" i="6"/>
  <c r="AD24" i="6"/>
  <c r="AE23" i="6"/>
  <c r="AD23" i="6"/>
  <c r="AE22" i="6"/>
  <c r="AD22" i="6"/>
  <c r="AE21" i="6"/>
  <c r="AD21" i="6"/>
  <c r="AE20" i="6"/>
  <c r="AD20" i="6"/>
  <c r="AE19" i="6"/>
  <c r="AD19" i="6"/>
  <c r="AE18" i="6"/>
  <c r="AD18" i="6"/>
  <c r="AE17" i="6"/>
  <c r="AD17" i="6"/>
  <c r="AE16" i="6"/>
  <c r="AD16" i="6"/>
  <c r="AE15" i="6"/>
  <c r="AD15" i="6"/>
  <c r="AE14" i="6"/>
  <c r="AD14" i="6"/>
  <c r="AE13" i="6"/>
  <c r="AD13" i="6"/>
  <c r="AE12" i="6"/>
  <c r="AD12" i="6"/>
  <c r="AE11" i="6"/>
  <c r="AD11" i="6"/>
  <c r="AH39" i="5"/>
  <c r="AG39" i="5"/>
  <c r="AH37" i="5"/>
  <c r="AG37" i="5"/>
  <c r="AH36" i="5"/>
  <c r="AG36" i="5"/>
  <c r="AH35" i="5"/>
  <c r="AG35" i="5"/>
  <c r="AH34" i="5"/>
  <c r="AG34" i="5"/>
  <c r="AH33" i="5"/>
  <c r="AG33" i="5"/>
  <c r="AH32" i="5"/>
  <c r="AG32" i="5"/>
  <c r="AH31" i="5"/>
  <c r="AG31" i="5"/>
  <c r="AH30" i="5"/>
  <c r="AG30" i="5"/>
  <c r="AH29" i="5"/>
  <c r="AG29" i="5"/>
  <c r="AH28" i="5"/>
  <c r="AG28" i="5"/>
  <c r="AH27" i="5"/>
  <c r="AG27" i="5"/>
  <c r="AH26" i="5"/>
  <c r="AG26" i="5"/>
  <c r="AH25" i="5"/>
  <c r="AG25" i="5"/>
  <c r="AH24" i="5"/>
  <c r="AG24" i="5"/>
  <c r="AH23" i="5"/>
  <c r="AG23" i="5"/>
  <c r="AH22" i="5"/>
  <c r="AG22" i="5"/>
  <c r="AH21" i="5"/>
  <c r="AG21" i="5"/>
  <c r="AH20" i="5"/>
  <c r="AG20" i="5"/>
  <c r="AH19" i="5"/>
  <c r="AG19" i="5"/>
  <c r="AH18" i="5"/>
  <c r="AG18" i="5"/>
  <c r="AH17" i="5"/>
  <c r="AG17" i="5"/>
  <c r="AH16" i="5"/>
  <c r="AG16" i="5"/>
  <c r="AH15" i="5"/>
  <c r="AG15" i="5"/>
  <c r="AH14" i="5"/>
  <c r="AG14" i="5"/>
  <c r="AH13" i="5"/>
  <c r="AG13" i="5"/>
  <c r="AH12" i="5"/>
  <c r="AG12" i="5"/>
  <c r="AH11" i="5"/>
  <c r="AG11" i="5"/>
  <c r="AD39" i="4"/>
  <c r="AC39" i="4"/>
  <c r="AD37" i="4"/>
  <c r="AC37" i="4"/>
  <c r="AD36" i="4"/>
  <c r="AC36" i="4"/>
  <c r="AD35" i="4"/>
  <c r="AC35" i="4"/>
  <c r="AD34" i="4"/>
  <c r="AC34" i="4"/>
  <c r="AD33" i="4"/>
  <c r="AC33" i="4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1" i="4"/>
  <c r="AC11" i="4"/>
  <c r="AC39" i="3"/>
  <c r="AB39" i="3"/>
  <c r="AE12" i="1" l="1"/>
  <c r="AE13" i="1"/>
  <c r="AE1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9" i="1"/>
  <c r="AE11" i="1"/>
  <c r="AD12" i="1"/>
  <c r="AD13" i="1"/>
  <c r="AD1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9" i="1"/>
  <c r="AD11" i="1"/>
  <c r="H15" i="1"/>
  <c r="K15" i="3"/>
  <c r="J6" i="3" s="1"/>
  <c r="K15" i="1" l="1"/>
  <c r="H22" i="1"/>
  <c r="K22" i="4"/>
  <c r="K22" i="1" s="1"/>
  <c r="N24" i="4"/>
  <c r="N22" i="1"/>
  <c r="N24" i="1"/>
  <c r="N23" i="1"/>
  <c r="O22" i="1" l="1"/>
  <c r="N42" i="1"/>
  <c r="N45" i="1" s="1"/>
  <c r="O24" i="1"/>
  <c r="N47" i="1"/>
  <c r="N48" i="1" s="1"/>
  <c r="O23" i="1"/>
  <c r="O42" i="1" l="1"/>
</calcChain>
</file>

<file path=xl/sharedStrings.xml><?xml version="1.0" encoding="utf-8"?>
<sst xmlns="http://schemas.openxmlformats.org/spreadsheetml/2006/main" count="2917" uniqueCount="207">
  <si>
    <t>TBM</t>
  </si>
  <si>
    <t>TM</t>
  </si>
  <si>
    <t>TTM/TR</t>
  </si>
  <si>
    <t>NO</t>
  </si>
  <si>
    <t>KOMODITAS</t>
  </si>
  <si>
    <t>AREN</t>
  </si>
  <si>
    <t>Luas Areal  (Ha)</t>
  </si>
  <si>
    <t>Mutasi dalam tahun Laporan</t>
  </si>
  <si>
    <t>Tanam Ulang</t>
  </si>
  <si>
    <t>Tanaman baru</t>
  </si>
  <si>
    <t>Pengurangan</t>
  </si>
  <si>
    <t>Jumlah</t>
  </si>
  <si>
    <t>Kondisi</t>
  </si>
  <si>
    <t>Akhir Tahun Lalu</t>
  </si>
  <si>
    <t>Jumlah (Kg)</t>
  </si>
  <si>
    <t>Pada Tahun Laporam</t>
  </si>
  <si>
    <t>Wujud Produksi</t>
  </si>
  <si>
    <t>Jumlah Petani Pekebun (KK)</t>
  </si>
  <si>
    <t>Keterangan</t>
  </si>
  <si>
    <t>Pemilik</t>
  </si>
  <si>
    <t>BMU</t>
  </si>
  <si>
    <t>Rata-Rata (Kg/Ha)</t>
  </si>
  <si>
    <t>Produksi (Kg)</t>
  </si>
  <si>
    <t>Tanaman pada Akhir Tahun Lalu</t>
  </si>
  <si>
    <t>Formulir 8. Rekapitulasi Luas Areal dan Produksi Perkebunan Rakyat Tanaman tahunan Kabupaten/Kota</t>
  </si>
  <si>
    <t>ASEM JAWA</t>
  </si>
  <si>
    <t>ASEM MANIS</t>
  </si>
  <si>
    <t>CASSIAVERA</t>
  </si>
  <si>
    <t>CENGKEH</t>
  </si>
  <si>
    <t>GLAGAH ARJUNA</t>
  </si>
  <si>
    <t>JAMBU METE</t>
  </si>
  <si>
    <t>JARAK PAGAR</t>
  </si>
  <si>
    <t>JENITRI</t>
  </si>
  <si>
    <t>KAKAO</t>
  </si>
  <si>
    <t>KARET</t>
  </si>
  <si>
    <t>KELAPA DALAM</t>
  </si>
  <si>
    <t>KELAPA DERES</t>
  </si>
  <si>
    <t>KELAPA HIBRIDA</t>
  </si>
  <si>
    <t>KELAPA KOPYOR</t>
  </si>
  <si>
    <t>KEMIRI</t>
  </si>
  <si>
    <t>KEMIRI SUNAN</t>
  </si>
  <si>
    <t>KEMUKUS</t>
  </si>
  <si>
    <t>KENANGA</t>
  </si>
  <si>
    <t>KINA</t>
  </si>
  <si>
    <t>KOPI ARABIKA</t>
  </si>
  <si>
    <t>KOPI ROBUSTA</t>
  </si>
  <si>
    <t>LADA</t>
  </si>
  <si>
    <t>NIPAH</t>
  </si>
  <si>
    <t>PALA</t>
  </si>
  <si>
    <t>PANILI</t>
  </si>
  <si>
    <t>PINANG</t>
  </si>
  <si>
    <t>SIWALAN</t>
  </si>
  <si>
    <t>TEH</t>
  </si>
  <si>
    <t>Jawa Tengah</t>
  </si>
  <si>
    <t>RUMUS</t>
  </si>
  <si>
    <t>DIHAPUS</t>
  </si>
  <si>
    <t>JANGAN</t>
  </si>
  <si>
    <t>Formulir 6. Luas Areal, Produksi, Produktivitas dan Jumlah Petani Pemilik Tanaman Tahunan perkebunan Rakyat Kecamatan</t>
  </si>
  <si>
    <t>LUAS AREAL, PRODUKSI, PRODUKTIVITAS DAN JUMLAH PETANI
PEMILIK TANAMAN TAHUNAN PERKEBUNAN RAKYAT KECAMATAN</t>
  </si>
  <si>
    <t>SEMESTER :</t>
  </si>
  <si>
    <t>TAHUN        :</t>
  </si>
  <si>
    <t>I/II</t>
  </si>
  <si>
    <t>KABUPATEN                 :</t>
  </si>
  <si>
    <t>KECAMATAN               :</t>
  </si>
  <si>
    <t>PROVINSI                     :</t>
  </si>
  <si>
    <t>Kabupaten XX</t>
  </si>
  <si>
    <t>Kecamatan 1</t>
  </si>
  <si>
    <t>Gula Aren</t>
  </si>
  <si>
    <t>Buah Segar</t>
  </si>
  <si>
    <t>Kulit Kering</t>
  </si>
  <si>
    <t>Bunga Kering</t>
  </si>
  <si>
    <t>Glondong Kering</t>
  </si>
  <si>
    <t>Biji Kering</t>
  </si>
  <si>
    <t>Sheet</t>
  </si>
  <si>
    <t>Kopra</t>
  </si>
  <si>
    <t>Gula Merah</t>
  </si>
  <si>
    <t>Butir Segar</t>
  </si>
  <si>
    <t>Buah basah</t>
  </si>
  <si>
    <t>Buah</t>
  </si>
  <si>
    <t>Biji kering</t>
  </si>
  <si>
    <t>Bunga Segar</t>
  </si>
  <si>
    <t>Kopi Wose</t>
  </si>
  <si>
    <t>Gula merah</t>
  </si>
  <si>
    <t>Daun Kering</t>
  </si>
  <si>
    <t>Buah kering</t>
  </si>
  <si>
    <t>Cilacap Utara</t>
  </si>
  <si>
    <t>Cilacap</t>
  </si>
  <si>
    <t xml:space="preserve">Cilacap </t>
  </si>
  <si>
    <t xml:space="preserve">Karangpucung </t>
  </si>
  <si>
    <t xml:space="preserve">Kopra </t>
  </si>
  <si>
    <t>Adipala</t>
  </si>
  <si>
    <t>Cilacap Selatan</t>
  </si>
  <si>
    <t>0</t>
  </si>
  <si>
    <t>TRIWULAN :</t>
  </si>
  <si>
    <t xml:space="preserve"> </t>
  </si>
  <si>
    <t>REKAPITULASI LUAS AREAL DAN PRODUKSI PERKEBUNAN RAKYAT
TANAMAN TAHUNAN KABUPATEN CILACAP</t>
  </si>
  <si>
    <t>KAPOK</t>
  </si>
  <si>
    <t>Cilacap Tengah</t>
  </si>
  <si>
    <t>Mengetahui :</t>
  </si>
  <si>
    <t xml:space="preserve">a.n KEPALA DINAS PANGAN DAN PERKEBUNAN </t>
  </si>
  <si>
    <t>KABUPATEN CILACAP</t>
  </si>
  <si>
    <t>Kepala Bidang Perkebunan</t>
  </si>
  <si>
    <t>AGUS PRIHARSO, S.Hut,MP</t>
  </si>
  <si>
    <t>NIP. 19720801 199803 1 005</t>
  </si>
  <si>
    <t>Ket</t>
  </si>
  <si>
    <t xml:space="preserve">Mengetahui, </t>
  </si>
  <si>
    <t>Koordinator Penyuluh</t>
  </si>
  <si>
    <t>Yusuf Irianto, SP</t>
  </si>
  <si>
    <t>NIP. 19621228 198709 1 002</t>
  </si>
  <si>
    <t>Yudi Iswahyudi</t>
  </si>
  <si>
    <t>Petugas Statistik</t>
  </si>
  <si>
    <t xml:space="preserve">Mengetahui </t>
  </si>
  <si>
    <t>Koordinator Lapangan</t>
  </si>
  <si>
    <t>SURUR HIDAYAT, SP.MM</t>
  </si>
  <si>
    <t>NIP 19640728 198709 1 003</t>
  </si>
  <si>
    <t>ROJIKIN, SP</t>
  </si>
  <si>
    <t>NIP 19601018 198603 1 006</t>
  </si>
  <si>
    <t>GUNAWAN, S.PKP</t>
  </si>
  <si>
    <t>NIP 19590415 198709 1 003</t>
  </si>
  <si>
    <t>NUR HASANAH</t>
  </si>
  <si>
    <t>NIP 19820614 2017 2 003</t>
  </si>
  <si>
    <t>DARWONO, SP</t>
  </si>
  <si>
    <t>NIP 19580902 198103 1 012</t>
  </si>
  <si>
    <t>RETNONINGSIH</t>
  </si>
  <si>
    <t>SAKINO, SP</t>
  </si>
  <si>
    <t>NIP 19601109 198709 1 001</t>
  </si>
  <si>
    <t>SAHURI</t>
  </si>
  <si>
    <t>SULAEMAN, S.PKP</t>
  </si>
  <si>
    <t>NIP 19590515 198309 1 021</t>
  </si>
  <si>
    <t>NUGRAHENI DWI LESTARI, S.TP</t>
  </si>
  <si>
    <t>NIP. 19820303 201706 2 002</t>
  </si>
  <si>
    <t>MOH. SANTOSO, A.Md</t>
  </si>
  <si>
    <t>NIP 19620515 198309 1 021</t>
  </si>
  <si>
    <t>Petugas Pengumpul Data Statistik</t>
  </si>
  <si>
    <t>TORY APRI HABDI</t>
  </si>
  <si>
    <t>DESI RACHMAWATI, SP</t>
  </si>
  <si>
    <t>PALA TBM GESER KE TM 100 HA</t>
  </si>
  <si>
    <t>-</t>
  </si>
  <si>
    <t>800-1200</t>
  </si>
  <si>
    <t>DARSIM, SP</t>
  </si>
  <si>
    <t>NIP. 19580502 1980 1 012</t>
  </si>
  <si>
    <t>NIP. 19620408 199103 1 004</t>
  </si>
  <si>
    <t>YATIN SUPRIYANTO</t>
  </si>
  <si>
    <t>NINING IRAWATI</t>
  </si>
  <si>
    <t>NIP. 19821029 201706 2 003</t>
  </si>
  <si>
    <t>NETI LUSIYANI, SP</t>
  </si>
  <si>
    <t>SUMARDI</t>
  </si>
  <si>
    <t>SRI LESTARI</t>
  </si>
  <si>
    <t>ARIY SUNAN BADIAJI, S.TP</t>
  </si>
  <si>
    <t>LUSIANA DIAH ASTUTI, SP</t>
  </si>
  <si>
    <t>NIP. 19800828 201101 2 004</t>
  </si>
  <si>
    <t>RUSWANTO, A.Md</t>
  </si>
  <si>
    <t>NIP. 19851127 201706 1 001</t>
  </si>
  <si>
    <t>RISANG ESTHI ABI HIMAWAN, A.Md</t>
  </si>
  <si>
    <t>NIP. 19851116 201706 1 002</t>
  </si>
  <si>
    <t>SITI, ZULAIKHAH</t>
  </si>
  <si>
    <t>HASANURDIN</t>
  </si>
  <si>
    <t>MUKSIN</t>
  </si>
  <si>
    <t>NIP. 19880206 201706 1 001</t>
  </si>
  <si>
    <t>2019</t>
  </si>
  <si>
    <t>NINA TRIHASTUTI, A.Md</t>
  </si>
  <si>
    <t>INDRAWATI, A.Md</t>
  </si>
  <si>
    <t>8727.03</t>
  </si>
  <si>
    <t>KEPALA DINAS PANGAN DAN PERKEBUNAN</t>
  </si>
  <si>
    <t>Ir. SUSILAN</t>
  </si>
  <si>
    <t>NIP. 19641108 199103 1 006</t>
  </si>
  <si>
    <t xml:space="preserve">ket </t>
  </si>
  <si>
    <t>ket</t>
  </si>
  <si>
    <t>PANEN DI TW 3</t>
  </si>
  <si>
    <t xml:space="preserve">Kecamatan              </t>
  </si>
  <si>
    <t xml:space="preserve">:  Dayeuhluhur </t>
  </si>
  <si>
    <t>Kabupaten</t>
  </si>
  <si>
    <t>:  Cilacap</t>
  </si>
  <si>
    <t>Provinsi</t>
  </si>
  <si>
    <t>:  Jawa Tengah</t>
  </si>
  <si>
    <t xml:space="preserve">KECAMATAN               </t>
  </si>
  <si>
    <t xml:space="preserve">KABUPATEN                 </t>
  </si>
  <si>
    <t xml:space="preserve">PROVINSI                     </t>
  </si>
  <si>
    <t>:  Wanareja</t>
  </si>
  <si>
    <t>:  Majenang</t>
  </si>
  <si>
    <t xml:space="preserve">TRIWULAN </t>
  </si>
  <si>
    <t xml:space="preserve">TAHUN        </t>
  </si>
  <si>
    <t>:  2019</t>
  </si>
  <si>
    <t xml:space="preserve">:  Cimanggu </t>
  </si>
  <si>
    <t xml:space="preserve">:  Cilacap </t>
  </si>
  <si>
    <t>:  Patimuan</t>
  </si>
  <si>
    <t>:  Cipari</t>
  </si>
  <si>
    <t>:  Sidareja</t>
  </si>
  <si>
    <t>:  Kedungreja</t>
  </si>
  <si>
    <t>:  Gandrungmangu</t>
  </si>
  <si>
    <t>:  Bantarsari</t>
  </si>
  <si>
    <t>:  Kawunganten</t>
  </si>
  <si>
    <t xml:space="preserve">PROVINSI                       </t>
  </si>
  <si>
    <t>:  Jeruklegi</t>
  </si>
  <si>
    <t>:  Binangun</t>
  </si>
  <si>
    <t>:  Kroya</t>
  </si>
  <si>
    <t>:  Maos</t>
  </si>
  <si>
    <t xml:space="preserve">:  Sampang </t>
  </si>
  <si>
    <t>:  Kesugihan</t>
  </si>
  <si>
    <t>:  Nusawungu</t>
  </si>
  <si>
    <t>:  Kampunglaut</t>
  </si>
  <si>
    <t>Tan sudah tdk produktif dan tua</t>
  </si>
  <si>
    <t>IV</t>
  </si>
  <si>
    <t>:  IV</t>
  </si>
  <si>
    <t>Pada Tahun Laporan</t>
  </si>
  <si>
    <t>: 2019</t>
  </si>
  <si>
    <t>: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</si>
</sst>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0_);_(* \(#,##0.00\);_(* &quot;-&quot;_);_(@_)"/>
    <numFmt numFmtId="166" formatCode="_(* #,##0.0_);_(* \(#,##0.0\);_(* &quot;-&quot;_);_(@_)"/>
    <numFmt numFmtId="167" formatCode="_(* #,##0_);_(* \(#,##0\);_(* &quot;-&quot;???_);_(@_)"/>
    <numFmt numFmtId="168" formatCode="_(* #,##0.0_);_(* \(#,##0.0\);_(* &quot;-&quot;?_);_(@_)"/>
    <numFmt numFmtId="169" formatCode="_(* #,##0.000_);_(* \(#,##0.000\);_(* &quot;-&quot;???_);_(@_)"/>
    <numFmt numFmtId="170" formatCode="_(* #,##0_);_(* \(#,##0\);_(* &quot;-&quot;??_);_(@_)"/>
  </numFmts>
  <fonts count="3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theme="4" tint="-0.249977111117893"/>
      <name val="Calibri"/>
      <family val="2"/>
      <charset val="1"/>
      <scheme val="minor"/>
    </font>
    <font>
      <u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charset val="1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0"/>
      <name val="Arial Narrow"/>
      <family val="2"/>
    </font>
    <font>
      <u/>
      <sz val="11"/>
      <color theme="0"/>
      <name val="Arial Narrow"/>
      <family val="2"/>
    </font>
    <font>
      <sz val="10"/>
      <color theme="0"/>
      <name val="Arial Narrow"/>
      <family val="2"/>
    </font>
    <font>
      <sz val="11"/>
      <color theme="0"/>
      <name val="Arial"/>
      <family val="2"/>
    </font>
    <font>
      <u/>
      <sz val="11"/>
      <color theme="0"/>
      <name val="Arial"/>
      <family val="2"/>
    </font>
    <font>
      <u/>
      <sz val="11"/>
      <color theme="0"/>
      <name val="Calibri"/>
      <family val="2"/>
      <charset val="1"/>
      <scheme val="minor"/>
    </font>
    <font>
      <sz val="11"/>
      <name val="Arial"/>
      <family val="2"/>
    </font>
    <font>
      <b/>
      <u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b/>
      <sz val="11"/>
      <color rgb="FFFF0000"/>
      <name val="Arial"/>
      <family val="2"/>
    </font>
    <font>
      <b/>
      <u/>
      <sz val="11"/>
      <color theme="0"/>
      <name val="Calibri"/>
      <family val="2"/>
      <charset val="1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41" fontId="0" fillId="0" borderId="1" xfId="1" applyFont="1" applyFill="1" applyBorder="1" applyAlignment="1">
      <alignment horizontal="center"/>
    </xf>
    <xf numFmtId="41" fontId="0" fillId="0" borderId="1" xfId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41" fontId="0" fillId="0" borderId="1" xfId="1" applyFont="1" applyFill="1" applyBorder="1"/>
    <xf numFmtId="165" fontId="0" fillId="0" borderId="1" xfId="1" applyNumberFormat="1" applyFont="1" applyFill="1" applyBorder="1"/>
    <xf numFmtId="165" fontId="0" fillId="0" borderId="1" xfId="1" applyNumberFormat="1" applyFont="1" applyFill="1" applyBorder="1" applyAlignment="1">
      <alignment horizontal="right"/>
    </xf>
    <xf numFmtId="0" fontId="5" fillId="0" borderId="1" xfId="0" applyFont="1" applyBorder="1"/>
    <xf numFmtId="165" fontId="2" fillId="0" borderId="1" xfId="1" applyNumberFormat="1" applyFont="1" applyFill="1" applyBorder="1"/>
    <xf numFmtId="165" fontId="0" fillId="0" borderId="0" xfId="0" applyNumberFormat="1"/>
    <xf numFmtId="41" fontId="0" fillId="0" borderId="0" xfId="0" applyNumberFormat="1"/>
    <xf numFmtId="43" fontId="0" fillId="0" borderId="0" xfId="0" applyNumberFormat="1"/>
    <xf numFmtId="3" fontId="0" fillId="0" borderId="1" xfId="0" applyNumberFormat="1" applyBorder="1"/>
    <xf numFmtId="165" fontId="0" fillId="0" borderId="0" xfId="1" applyNumberFormat="1" applyFont="1" applyFill="1"/>
    <xf numFmtId="165" fontId="5" fillId="0" borderId="1" xfId="1" applyNumberFormat="1" applyFont="1" applyFill="1" applyBorder="1"/>
    <xf numFmtId="165" fontId="0" fillId="0" borderId="0" xfId="1" applyNumberFormat="1" applyFont="1"/>
    <xf numFmtId="2" fontId="0" fillId="0" borderId="0" xfId="0" applyNumberFormat="1"/>
    <xf numFmtId="4" fontId="0" fillId="0" borderId="0" xfId="0" applyNumberFormat="1"/>
    <xf numFmtId="165" fontId="1" fillId="0" borderId="1" xfId="1" applyNumberFormat="1" applyFont="1" applyFill="1" applyBorder="1" applyAlignment="1">
      <alignment horizontal="center" vertical="center" wrapText="1"/>
    </xf>
    <xf numFmtId="165" fontId="0" fillId="0" borderId="1" xfId="1" quotePrefix="1" applyNumberFormat="1" applyFont="1" applyFill="1" applyBorder="1" applyAlignment="1">
      <alignment horizontal="center"/>
    </xf>
    <xf numFmtId="41" fontId="0" fillId="0" borderId="0" xfId="1" applyFont="1" applyFill="1"/>
    <xf numFmtId="41" fontId="5" fillId="0" borderId="1" xfId="1" applyFont="1" applyFill="1" applyBorder="1"/>
    <xf numFmtId="0" fontId="5" fillId="0" borderId="0" xfId="0" applyFont="1" applyAlignment="1">
      <alignment horizontal="left"/>
    </xf>
    <xf numFmtId="0" fontId="5" fillId="0" borderId="0" xfId="0" applyFont="1"/>
    <xf numFmtId="165" fontId="5" fillId="0" borderId="0" xfId="1" applyNumberFormat="1" applyFont="1" applyFill="1"/>
    <xf numFmtId="41" fontId="5" fillId="0" borderId="0" xfId="1" applyFont="1"/>
    <xf numFmtId="0" fontId="5" fillId="0" borderId="0" xfId="0" applyFont="1" applyAlignment="1">
      <alignment horizontal="center"/>
    </xf>
    <xf numFmtId="41" fontId="6" fillId="0" borderId="0" xfId="1" applyFont="1"/>
    <xf numFmtId="0" fontId="6" fillId="0" borderId="0" xfId="0" applyFont="1"/>
    <xf numFmtId="41" fontId="5" fillId="0" borderId="0" xfId="1" applyFont="1" applyAlignment="1">
      <alignment horizontal="left"/>
    </xf>
    <xf numFmtId="0" fontId="5" fillId="0" borderId="2" xfId="0" applyFont="1" applyBorder="1" applyAlignment="1">
      <alignment vertical="center" wrapText="1"/>
    </xf>
    <xf numFmtId="41" fontId="5" fillId="0" borderId="5" xfId="1" applyFont="1" applyBorder="1" applyAlignment="1">
      <alignment vertical="center" wrapText="1"/>
    </xf>
    <xf numFmtId="41" fontId="5" fillId="0" borderId="6" xfId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1" fontId="5" fillId="0" borderId="0" xfId="0" applyNumberFormat="1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1" fontId="6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7" xfId="0" applyFont="1" applyBorder="1"/>
    <xf numFmtId="41" fontId="5" fillId="0" borderId="0" xfId="0" applyNumberFormat="1" applyFont="1"/>
    <xf numFmtId="43" fontId="5" fillId="0" borderId="0" xfId="0" applyNumberFormat="1" applyFont="1"/>
    <xf numFmtId="165" fontId="5" fillId="0" borderId="0" xfId="1" applyNumberFormat="1" applyFont="1"/>
    <xf numFmtId="0" fontId="0" fillId="0" borderId="3" xfId="0" applyBorder="1"/>
    <xf numFmtId="43" fontId="5" fillId="0" borderId="0" xfId="0" applyNumberFormat="1" applyFont="1" applyAlignment="1">
      <alignment vertical="center" wrapText="1"/>
    </xf>
    <xf numFmtId="41" fontId="5" fillId="0" borderId="0" xfId="1" quotePrefix="1" applyFont="1" applyAlignment="1"/>
    <xf numFmtId="0" fontId="7" fillId="0" borderId="0" xfId="0" applyFont="1"/>
    <xf numFmtId="43" fontId="8" fillId="0" borderId="0" xfId="0" applyNumberFormat="1" applyFont="1"/>
    <xf numFmtId="41" fontId="8" fillId="0" borderId="0" xfId="0" applyNumberFormat="1" applyFont="1"/>
    <xf numFmtId="0" fontId="10" fillId="0" borderId="0" xfId="0" applyFont="1"/>
    <xf numFmtId="165" fontId="5" fillId="0" borderId="0" xfId="0" applyNumberFormat="1" applyFont="1"/>
    <xf numFmtId="43" fontId="10" fillId="0" borderId="0" xfId="0" applyNumberFormat="1" applyFont="1"/>
    <xf numFmtId="41" fontId="10" fillId="0" borderId="0" xfId="0" applyNumberFormat="1" applyFont="1"/>
    <xf numFmtId="165" fontId="10" fillId="0" borderId="0" xfId="1" applyNumberFormat="1" applyFont="1" applyFill="1"/>
    <xf numFmtId="41" fontId="5" fillId="0" borderId="0" xfId="1" applyFont="1" applyFill="1"/>
    <xf numFmtId="2" fontId="5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/>
    <xf numFmtId="165" fontId="11" fillId="0" borderId="0" xfId="1" applyNumberFormat="1" applyFont="1" applyFill="1"/>
    <xf numFmtId="0" fontId="11" fillId="0" borderId="0" xfId="0" applyFont="1" applyAlignment="1">
      <alignment horizontal="center"/>
    </xf>
    <xf numFmtId="43" fontId="11" fillId="0" borderId="0" xfId="0" applyNumberFormat="1" applyFont="1"/>
    <xf numFmtId="0" fontId="11" fillId="0" borderId="0" xfId="0" applyFont="1" applyAlignment="1">
      <alignment vertical="center" wrapText="1"/>
    </xf>
    <xf numFmtId="165" fontId="11" fillId="0" borderId="0" xfId="1" applyNumberFormat="1" applyFont="1"/>
    <xf numFmtId="0" fontId="12" fillId="0" borderId="1" xfId="0" applyFont="1" applyBorder="1"/>
    <xf numFmtId="165" fontId="12" fillId="0" borderId="1" xfId="1" applyNumberFormat="1" applyFont="1" applyFill="1" applyBorder="1"/>
    <xf numFmtId="0" fontId="12" fillId="0" borderId="3" xfId="0" applyFont="1" applyBorder="1"/>
    <xf numFmtId="41" fontId="12" fillId="0" borderId="1" xfId="1" applyFont="1" applyFill="1" applyBorder="1"/>
    <xf numFmtId="4" fontId="12" fillId="0" borderId="1" xfId="0" applyNumberFormat="1" applyFont="1" applyBorder="1"/>
    <xf numFmtId="41" fontId="12" fillId="0" borderId="1" xfId="1" applyFont="1" applyFill="1" applyBorder="1" applyAlignment="1">
      <alignment horizontal="center"/>
    </xf>
    <xf numFmtId="170" fontId="0" fillId="0" borderId="1" xfId="2" applyNumberFormat="1" applyFont="1" applyFill="1" applyBorder="1"/>
    <xf numFmtId="0" fontId="12" fillId="0" borderId="1" xfId="0" applyFont="1" applyBorder="1" applyAlignment="1">
      <alignment horizontal="center"/>
    </xf>
    <xf numFmtId="165" fontId="12" fillId="0" borderId="1" xfId="1" applyNumberFormat="1" applyFont="1" applyFill="1" applyBorder="1" applyAlignment="1">
      <alignment horizontal="right"/>
    </xf>
    <xf numFmtId="170" fontId="0" fillId="0" borderId="1" xfId="2" applyNumberFormat="1" applyFont="1" applyFill="1" applyBorder="1" applyAlignment="1">
      <alignment horizontal="right"/>
    </xf>
    <xf numFmtId="2" fontId="12" fillId="0" borderId="1" xfId="0" applyNumberFormat="1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41" fontId="12" fillId="0" borderId="1" xfId="1" applyFont="1" applyFill="1" applyBorder="1" applyAlignment="1">
      <alignment horizontal="right"/>
    </xf>
    <xf numFmtId="43" fontId="12" fillId="0" borderId="1" xfId="2" applyFont="1" applyFill="1" applyBorder="1" applyAlignment="1">
      <alignment horizontal="center"/>
    </xf>
    <xf numFmtId="43" fontId="12" fillId="0" borderId="1" xfId="2" quotePrefix="1" applyFont="1" applyFill="1" applyBorder="1" applyAlignment="1">
      <alignment horizontal="center"/>
    </xf>
    <xf numFmtId="43" fontId="12" fillId="0" borderId="1" xfId="2" applyFont="1" applyFill="1" applyBorder="1"/>
    <xf numFmtId="0" fontId="12" fillId="0" borderId="1" xfId="0" applyFont="1" applyBorder="1" applyAlignment="1">
      <alignment horizontal="right"/>
    </xf>
    <xf numFmtId="170" fontId="0" fillId="0" borderId="0" xfId="2" applyNumberFormat="1" applyFont="1"/>
    <xf numFmtId="43" fontId="12" fillId="0" borderId="1" xfId="0" applyNumberFormat="1" applyFont="1" applyBorder="1"/>
    <xf numFmtId="43" fontId="13" fillId="0" borderId="1" xfId="2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65" fontId="5" fillId="0" borderId="1" xfId="1" quotePrefix="1" applyNumberFormat="1" applyFont="1" applyFill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7" fontId="10" fillId="0" borderId="0" xfId="0" applyNumberFormat="1" applyFont="1"/>
    <xf numFmtId="43" fontId="13" fillId="0" borderId="1" xfId="2" quotePrefix="1" applyFont="1" applyFill="1" applyBorder="1" applyAlignment="1">
      <alignment horizontal="center"/>
    </xf>
    <xf numFmtId="43" fontId="13" fillId="0" borderId="1" xfId="2" applyFont="1" applyFill="1" applyBorder="1"/>
    <xf numFmtId="43" fontId="13" fillId="0" borderId="1" xfId="2" applyFont="1" applyFill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0" fillId="0" borderId="0" xfId="0" quotePrefix="1" applyAlignment="1">
      <alignment horizontal="center"/>
    </xf>
    <xf numFmtId="0" fontId="12" fillId="0" borderId="0" xfId="0" quotePrefix="1" applyFont="1" applyAlignment="1">
      <alignment horizontal="center"/>
    </xf>
    <xf numFmtId="165" fontId="12" fillId="0" borderId="1" xfId="0" applyNumberFormat="1" applyFont="1" applyBorder="1"/>
    <xf numFmtId="0" fontId="12" fillId="0" borderId="4" xfId="0" applyFont="1" applyBorder="1"/>
    <xf numFmtId="165" fontId="10" fillId="0" borderId="0" xfId="1" applyNumberFormat="1" applyFont="1"/>
    <xf numFmtId="41" fontId="10" fillId="0" borderId="0" xfId="1" applyFont="1"/>
    <xf numFmtId="166" fontId="12" fillId="0" borderId="1" xfId="1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65" fontId="15" fillId="0" borderId="0" xfId="1" applyNumberFormat="1" applyFont="1" applyFill="1"/>
    <xf numFmtId="2" fontId="15" fillId="0" borderId="0" xfId="0" applyNumberFormat="1" applyFont="1"/>
    <xf numFmtId="41" fontId="15" fillId="0" borderId="0" xfId="0" applyNumberFormat="1" applyFont="1"/>
    <xf numFmtId="43" fontId="15" fillId="0" borderId="0" xfId="0" applyNumberFormat="1" applyFont="1"/>
    <xf numFmtId="0" fontId="15" fillId="0" borderId="2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8" fillId="0" borderId="1" xfId="0" applyFont="1" applyBorder="1"/>
    <xf numFmtId="165" fontId="18" fillId="0" borderId="1" xfId="1" applyNumberFormat="1" applyFont="1" applyFill="1" applyBorder="1" applyAlignment="1">
      <alignment horizontal="center"/>
    </xf>
    <xf numFmtId="165" fontId="18" fillId="0" borderId="1" xfId="1" quotePrefix="1" applyNumberFormat="1" applyFont="1" applyFill="1" applyBorder="1" applyAlignment="1">
      <alignment horizontal="center"/>
    </xf>
    <xf numFmtId="165" fontId="19" fillId="0" borderId="1" xfId="1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41" fontId="18" fillId="0" borderId="1" xfId="1" applyFont="1" applyFill="1" applyBorder="1" applyAlignment="1">
      <alignment horizontal="center"/>
    </xf>
    <xf numFmtId="0" fontId="18" fillId="0" borderId="3" xfId="0" applyFont="1" applyBorder="1"/>
    <xf numFmtId="165" fontId="18" fillId="0" borderId="1" xfId="1" applyNumberFormat="1" applyFont="1" applyFill="1" applyBorder="1"/>
    <xf numFmtId="165" fontId="18" fillId="0" borderId="1" xfId="1" applyNumberFormat="1" applyFont="1" applyFill="1" applyBorder="1" applyAlignment="1">
      <alignment horizontal="right"/>
    </xf>
    <xf numFmtId="41" fontId="18" fillId="0" borderId="1" xfId="1" quotePrefix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165" fontId="15" fillId="0" borderId="0" xfId="1" applyNumberFormat="1" applyFont="1"/>
    <xf numFmtId="0" fontId="20" fillId="0" borderId="0" xfId="0" applyFont="1"/>
    <xf numFmtId="165" fontId="20" fillId="0" borderId="0" xfId="1" applyNumberFormat="1" applyFont="1"/>
    <xf numFmtId="0" fontId="20" fillId="0" borderId="0" xfId="0" applyFont="1" applyAlignment="1">
      <alignment horizontal="left"/>
    </xf>
    <xf numFmtId="165" fontId="20" fillId="0" borderId="0" xfId="1" applyNumberFormat="1" applyFont="1" applyFill="1"/>
    <xf numFmtId="0" fontId="20" fillId="0" borderId="2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65" fontId="21" fillId="0" borderId="1" xfId="1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0" borderId="3" xfId="0" applyFont="1" applyBorder="1"/>
    <xf numFmtId="165" fontId="18" fillId="0" borderId="1" xfId="1" applyNumberFormat="1" applyFont="1" applyFill="1" applyBorder="1" applyAlignment="1"/>
    <xf numFmtId="165" fontId="18" fillId="0" borderId="1" xfId="1" quotePrefix="1" applyNumberFormat="1" applyFont="1" applyFill="1" applyBorder="1" applyAlignment="1"/>
    <xf numFmtId="165" fontId="19" fillId="0" borderId="1" xfId="1" applyNumberFormat="1" applyFont="1" applyFill="1" applyBorder="1" applyAlignment="1"/>
    <xf numFmtId="165" fontId="19" fillId="0" borderId="1" xfId="1" quotePrefix="1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8" fillId="0" borderId="0" xfId="0" applyFont="1"/>
    <xf numFmtId="165" fontId="18" fillId="0" borderId="0" xfId="1" applyNumberFormat="1" applyFont="1"/>
    <xf numFmtId="2" fontId="20" fillId="0" borderId="0" xfId="0" applyNumberFormat="1" applyFont="1"/>
    <xf numFmtId="43" fontId="20" fillId="0" borderId="0" xfId="0" applyNumberFormat="1" applyFont="1"/>
    <xf numFmtId="165" fontId="22" fillId="0" borderId="1" xfId="1" applyNumberFormat="1" applyFont="1" applyFill="1" applyBorder="1" applyAlignment="1">
      <alignment horizontal="center"/>
    </xf>
    <xf numFmtId="165" fontId="22" fillId="0" borderId="1" xfId="1" quotePrefix="1" applyNumberFormat="1" applyFont="1" applyFill="1" applyBorder="1" applyAlignment="1">
      <alignment horizontal="center"/>
    </xf>
    <xf numFmtId="0" fontId="20" fillId="0" borderId="1" xfId="0" applyFont="1" applyBorder="1"/>
    <xf numFmtId="170" fontId="20" fillId="0" borderId="1" xfId="2" applyNumberFormat="1" applyFont="1" applyFill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5" fontId="22" fillId="0" borderId="1" xfId="1" applyNumberFormat="1" applyFont="1" applyFill="1" applyBorder="1"/>
    <xf numFmtId="170" fontId="20" fillId="0" borderId="1" xfId="2" applyNumberFormat="1" applyFont="1" applyFill="1" applyBorder="1"/>
    <xf numFmtId="170" fontId="20" fillId="0" borderId="1" xfId="2" applyNumberFormat="1" applyFont="1" applyFill="1" applyBorder="1" applyAlignment="1">
      <alignment horizontal="right"/>
    </xf>
    <xf numFmtId="165" fontId="22" fillId="0" borderId="1" xfId="1" applyNumberFormat="1" applyFont="1" applyFill="1" applyBorder="1" applyAlignment="1">
      <alignment horizontal="right"/>
    </xf>
    <xf numFmtId="165" fontId="23" fillId="0" borderId="1" xfId="1" applyNumberFormat="1" applyFont="1" applyFill="1" applyBorder="1" applyAlignment="1">
      <alignment horizontal="center"/>
    </xf>
    <xf numFmtId="165" fontId="23" fillId="0" borderId="1" xfId="1" applyNumberFormat="1" applyFont="1" applyFill="1" applyBorder="1" applyAlignment="1">
      <alignment horizontal="right"/>
    </xf>
    <xf numFmtId="165" fontId="23" fillId="0" borderId="1" xfId="1" quotePrefix="1" applyNumberFormat="1" applyFont="1" applyFill="1" applyBorder="1" applyAlignment="1">
      <alignment horizontal="center"/>
    </xf>
    <xf numFmtId="170" fontId="20" fillId="0" borderId="1" xfId="2" quotePrefix="1" applyNumberFormat="1" applyFont="1" applyFill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7" fillId="0" borderId="0" xfId="0" applyFont="1"/>
    <xf numFmtId="0" fontId="20" fillId="0" borderId="0" xfId="0" applyFont="1" applyAlignment="1">
      <alignment vertical="center" wrapText="1"/>
    </xf>
    <xf numFmtId="165" fontId="20" fillId="0" borderId="1" xfId="1" quotePrefix="1" applyNumberFormat="1" applyFont="1" applyFill="1" applyBorder="1" applyAlignment="1">
      <alignment horizontal="center"/>
    </xf>
    <xf numFmtId="165" fontId="20" fillId="0" borderId="1" xfId="1" applyNumberFormat="1" applyFont="1" applyFill="1" applyBorder="1" applyAlignment="1">
      <alignment horizontal="center"/>
    </xf>
    <xf numFmtId="165" fontId="30" fillId="0" borderId="1" xfId="1" applyNumberFormat="1" applyFont="1" applyFill="1" applyBorder="1" applyAlignment="1">
      <alignment horizontal="center"/>
    </xf>
    <xf numFmtId="165" fontId="30" fillId="0" borderId="1" xfId="1" applyNumberFormat="1" applyFont="1" applyFill="1" applyBorder="1" applyAlignment="1">
      <alignment horizontal="right" vertical="center"/>
    </xf>
    <xf numFmtId="41" fontId="20" fillId="0" borderId="1" xfId="1" applyFont="1" applyFill="1" applyBorder="1" applyAlignment="1">
      <alignment horizontal="right"/>
    </xf>
    <xf numFmtId="165" fontId="30" fillId="0" borderId="1" xfId="1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right"/>
    </xf>
    <xf numFmtId="165" fontId="30" fillId="0" borderId="1" xfId="1" quotePrefix="1" applyNumberFormat="1" applyFont="1" applyFill="1" applyBorder="1" applyAlignment="1">
      <alignment horizontal="right"/>
    </xf>
    <xf numFmtId="0" fontId="20" fillId="0" borderId="3" xfId="0" applyFont="1" applyBorder="1"/>
    <xf numFmtId="165" fontId="20" fillId="0" borderId="1" xfId="1" applyNumberFormat="1" applyFont="1" applyFill="1" applyBorder="1"/>
    <xf numFmtId="165" fontId="30" fillId="0" borderId="1" xfId="1" applyNumberFormat="1" applyFont="1" applyFill="1" applyBorder="1"/>
    <xf numFmtId="165" fontId="30" fillId="0" borderId="1" xfId="1" quotePrefix="1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NumberFormat="1" applyFont="1" applyFill="1" applyBorder="1" applyAlignment="1">
      <alignment horizontal="center"/>
    </xf>
    <xf numFmtId="165" fontId="30" fillId="0" borderId="0" xfId="1" applyNumberFormat="1" applyFont="1" applyFill="1" applyBorder="1" applyAlignment="1">
      <alignment horizontal="center"/>
    </xf>
    <xf numFmtId="165" fontId="20" fillId="0" borderId="0" xfId="0" applyNumberFormat="1" applyFont="1"/>
    <xf numFmtId="168" fontId="20" fillId="0" borderId="0" xfId="0" applyNumberFormat="1" applyFont="1"/>
    <xf numFmtId="165" fontId="20" fillId="0" borderId="1" xfId="1" applyNumberFormat="1" applyFont="1" applyFill="1" applyBorder="1" applyAlignment="1">
      <alignment horizontal="right"/>
    </xf>
    <xf numFmtId="165" fontId="20" fillId="0" borderId="1" xfId="1" quotePrefix="1" applyNumberFormat="1" applyFont="1" applyFill="1" applyBorder="1" applyAlignment="1">
      <alignment horizontal="right"/>
    </xf>
    <xf numFmtId="41" fontId="20" fillId="0" borderId="1" xfId="1" applyFont="1" applyFill="1" applyBorder="1" applyAlignment="1">
      <alignment horizontal="center"/>
    </xf>
    <xf numFmtId="164" fontId="20" fillId="0" borderId="0" xfId="0" applyNumberFormat="1" applyFont="1"/>
    <xf numFmtId="41" fontId="20" fillId="0" borderId="0" xfId="0" applyNumberFormat="1" applyFont="1"/>
    <xf numFmtId="169" fontId="20" fillId="0" borderId="0" xfId="0" applyNumberFormat="1" applyFont="1"/>
    <xf numFmtId="0" fontId="32" fillId="0" borderId="1" xfId="0" applyFont="1" applyBorder="1" applyAlignment="1">
      <alignment horizontal="center" vertical="center" wrapText="1"/>
    </xf>
    <xf numFmtId="165" fontId="32" fillId="0" borderId="1" xfId="1" applyNumberFormat="1" applyFont="1" applyFill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right"/>
    </xf>
    <xf numFmtId="165" fontId="22" fillId="0" borderId="1" xfId="1" quotePrefix="1" applyNumberFormat="1" applyFont="1" applyFill="1" applyBorder="1"/>
    <xf numFmtId="41" fontId="22" fillId="0" borderId="1" xfId="1" applyFont="1" applyFill="1" applyBorder="1"/>
    <xf numFmtId="2" fontId="22" fillId="0" borderId="1" xfId="0" applyNumberFormat="1" applyFont="1" applyBorder="1"/>
    <xf numFmtId="43" fontId="22" fillId="0" borderId="1" xfId="0" applyNumberFormat="1" applyFont="1" applyBorder="1"/>
    <xf numFmtId="43" fontId="22" fillId="0" borderId="1" xfId="0" quotePrefix="1" applyNumberFormat="1" applyFont="1" applyBorder="1" applyAlignment="1">
      <alignment horizontal="right"/>
    </xf>
    <xf numFmtId="0" fontId="22" fillId="0" borderId="1" xfId="0" quotePrefix="1" applyFont="1" applyBorder="1"/>
    <xf numFmtId="43" fontId="22" fillId="0" borderId="1" xfId="2" applyFont="1" applyFill="1" applyBorder="1"/>
    <xf numFmtId="165" fontId="22" fillId="0" borderId="1" xfId="0" applyNumberFormat="1" applyFont="1" applyBorder="1"/>
    <xf numFmtId="165" fontId="22" fillId="0" borderId="1" xfId="1" quotePrefix="1" applyNumberFormat="1" applyFont="1" applyFill="1" applyBorder="1" applyAlignment="1">
      <alignment horizontal="right"/>
    </xf>
    <xf numFmtId="43" fontId="22" fillId="0" borderId="1" xfId="0" quotePrefix="1" applyNumberFormat="1" applyFont="1" applyBorder="1" applyAlignment="1">
      <alignment horizontal="center"/>
    </xf>
    <xf numFmtId="0" fontId="23" fillId="0" borderId="1" xfId="0" quotePrefix="1" applyFont="1" applyBorder="1" applyAlignment="1">
      <alignment horizontal="right"/>
    </xf>
    <xf numFmtId="2" fontId="22" fillId="0" borderId="1" xfId="0" applyNumberFormat="1" applyFont="1" applyBorder="1" applyAlignment="1">
      <alignment horizontal="center"/>
    </xf>
    <xf numFmtId="0" fontId="22" fillId="0" borderId="0" xfId="0" applyFont="1"/>
    <xf numFmtId="165" fontId="22" fillId="0" borderId="0" xfId="1" applyNumberFormat="1" applyFont="1"/>
    <xf numFmtId="0" fontId="33" fillId="0" borderId="0" xfId="0" applyFont="1"/>
    <xf numFmtId="41" fontId="22" fillId="0" borderId="1" xfId="1" applyFont="1" applyFill="1" applyBorder="1" applyAlignment="1">
      <alignment horizontal="right"/>
    </xf>
    <xf numFmtId="0" fontId="22" fillId="0" borderId="1" xfId="0" applyFont="1" applyBorder="1" applyAlignment="1">
      <alignment horizontal="right"/>
    </xf>
    <xf numFmtId="41" fontId="20" fillId="0" borderId="1" xfId="1" applyFont="1" applyFill="1" applyBorder="1"/>
    <xf numFmtId="165" fontId="20" fillId="0" borderId="1" xfId="1" quotePrefix="1" applyNumberFormat="1" applyFont="1" applyFill="1" applyBorder="1"/>
    <xf numFmtId="43" fontId="22" fillId="0" borderId="1" xfId="2" applyFont="1" applyFill="1" applyBorder="1" applyAlignment="1">
      <alignment horizontal="right"/>
    </xf>
    <xf numFmtId="43" fontId="22" fillId="0" borderId="1" xfId="2" quotePrefix="1" applyFont="1" applyFill="1" applyBorder="1" applyAlignment="1">
      <alignment horizontal="right"/>
    </xf>
    <xf numFmtId="43" fontId="23" fillId="0" borderId="1" xfId="2" applyFont="1" applyFill="1" applyBorder="1" applyAlignment="1">
      <alignment horizontal="right"/>
    </xf>
    <xf numFmtId="43" fontId="23" fillId="0" borderId="1" xfId="2" applyFont="1" applyFill="1" applyBorder="1" applyAlignment="1">
      <alignment horizontal="center"/>
    </xf>
    <xf numFmtId="43" fontId="22" fillId="0" borderId="1" xfId="2" applyFont="1" applyFill="1" applyBorder="1" applyAlignment="1">
      <alignment horizontal="center"/>
    </xf>
    <xf numFmtId="0" fontId="21" fillId="0" borderId="0" xfId="0" applyFont="1"/>
    <xf numFmtId="0" fontId="35" fillId="0" borderId="0" xfId="0" applyFont="1"/>
    <xf numFmtId="41" fontId="20" fillId="0" borderId="1" xfId="1" quotePrefix="1" applyFont="1" applyFill="1" applyBorder="1"/>
    <xf numFmtId="4" fontId="20" fillId="0" borderId="0" xfId="0" applyNumberFormat="1" applyFont="1"/>
    <xf numFmtId="43" fontId="20" fillId="0" borderId="1" xfId="2" applyFont="1" applyFill="1" applyBorder="1"/>
    <xf numFmtId="43" fontId="20" fillId="0" borderId="1" xfId="2" applyFont="1" applyFill="1" applyBorder="1" applyAlignment="1">
      <alignment horizontal="center"/>
    </xf>
    <xf numFmtId="165" fontId="20" fillId="0" borderId="1" xfId="1" applyNumberFormat="1" applyFont="1" applyBorder="1"/>
    <xf numFmtId="0" fontId="20" fillId="0" borderId="4" xfId="0" applyFont="1" applyBorder="1"/>
    <xf numFmtId="43" fontId="30" fillId="0" borderId="1" xfId="2" applyFont="1" applyFill="1" applyBorder="1" applyAlignment="1">
      <alignment horizontal="center"/>
    </xf>
    <xf numFmtId="43" fontId="30" fillId="0" borderId="1" xfId="2" applyFont="1" applyFill="1" applyBorder="1"/>
    <xf numFmtId="43" fontId="12" fillId="0" borderId="1" xfId="2" applyFont="1" applyFill="1" applyBorder="1" applyAlignment="1">
      <alignment horizontal="right"/>
    </xf>
    <xf numFmtId="43" fontId="12" fillId="0" borderId="1" xfId="2" quotePrefix="1" applyFont="1" applyFill="1" applyBorder="1" applyAlignment="1">
      <alignment horizontal="right"/>
    </xf>
    <xf numFmtId="43" fontId="0" fillId="0" borderId="0" xfId="2" applyFont="1" applyFill="1"/>
    <xf numFmtId="43" fontId="0" fillId="0" borderId="1" xfId="2" applyFont="1" applyFill="1" applyBorder="1"/>
    <xf numFmtId="165" fontId="12" fillId="0" borderId="1" xfId="1" quotePrefix="1" applyNumberFormat="1" applyFont="1" applyFill="1" applyBorder="1"/>
    <xf numFmtId="43" fontId="20" fillId="0" borderId="1" xfId="2" quotePrefix="1" applyFont="1" applyFill="1" applyBorder="1" applyAlignment="1">
      <alignment horizontal="right"/>
    </xf>
    <xf numFmtId="0" fontId="21" fillId="0" borderId="0" xfId="0" applyFont="1" applyAlignment="1">
      <alignment vertical="center" wrapText="1"/>
    </xf>
    <xf numFmtId="0" fontId="20" fillId="0" borderId="0" xfId="0" quotePrefix="1" applyFont="1" applyAlignment="1">
      <alignment horizontal="center"/>
    </xf>
    <xf numFmtId="2" fontId="12" fillId="0" borderId="1" xfId="0" applyNumberFormat="1" applyFont="1" applyBorder="1"/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1" fontId="6" fillId="0" borderId="7" xfId="1" applyFont="1" applyBorder="1" applyAlignment="1">
      <alignment horizontal="center" vertical="center" wrapText="1"/>
    </xf>
    <xf numFmtId="41" fontId="6" fillId="0" borderId="0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165" fontId="16" fillId="0" borderId="2" xfId="1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5" fontId="21" fillId="0" borderId="2" xfId="1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165" fontId="32" fillId="0" borderId="2" xfId="1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36" fillId="0" borderId="0" xfId="0" applyFont="1" applyAlignment="1">
      <alignment horizontal="center"/>
    </xf>
    <xf numFmtId="165" fontId="37" fillId="2" borderId="0" xfId="1" applyNumberFormat="1" applyFont="1" applyFill="1"/>
    <xf numFmtId="0" fontId="37" fillId="2" borderId="0" xfId="0" applyFont="1" applyFill="1" applyAlignment="1">
      <alignment horizontal="center"/>
    </xf>
    <xf numFmtId="0" fontId="37" fillId="2" borderId="0" xfId="0" applyFont="1" applyFill="1"/>
    <xf numFmtId="0" fontId="38" fillId="2" borderId="0" xfId="0" applyFont="1" applyFill="1" applyAlignment="1">
      <alignment horizont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revisi%20statistik%202018/Tan%20Tahunan%20PR%20tri%20wulan%204_revi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 Kab"/>
      <sheetName val="dayeuhluhur"/>
      <sheetName val="wnrja"/>
      <sheetName val="Majenang"/>
      <sheetName val="cmggu"/>
      <sheetName val="krpucung"/>
      <sheetName val="cipari"/>
      <sheetName val="ptmn"/>
      <sheetName val="sdrja"/>
      <sheetName val="kdreja"/>
      <sheetName val="gdmangu"/>
      <sheetName val="bt sari"/>
      <sheetName val="kwanten"/>
      <sheetName val="jrlegi"/>
      <sheetName val="binangun"/>
      <sheetName val="krya"/>
      <sheetName val="adpla"/>
      <sheetName val="maos"/>
      <sheetName val="smpg"/>
      <sheetName val="ksghn"/>
      <sheetName val="nswg"/>
      <sheetName val="kamla"/>
      <sheetName val="cilut-Prnt"/>
      <sheetName val="cilteng-prnt"/>
      <sheetName val="cilse-prnt"/>
      <sheetName val="Kecamatan (25)"/>
    </sheetNames>
    <sheetDataSet>
      <sheetData sheetId="0"/>
      <sheetData sheetId="1"/>
      <sheetData sheetId="2"/>
      <sheetData sheetId="3"/>
      <sheetData sheetId="4"/>
      <sheetData sheetId="5">
        <row r="15">
          <cell r="K15">
            <v>163.76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A9" zoomScale="90" zoomScaleNormal="90" workbookViewId="0">
      <pane xSplit="3570" ySplit="1060" topLeftCell="H37" activePane="bottomRight"/>
      <selection activeCell="A9" sqref="A9"/>
      <selection pane="topRight" activeCell="D9" sqref="D9"/>
      <selection pane="bottomLeft" activeCell="A11" sqref="A11"/>
      <selection pane="bottomRight" activeCell="P42" sqref="P42:S42"/>
    </sheetView>
  </sheetViews>
  <sheetFormatPr defaultColWidth="9.1796875" defaultRowHeight="14.5" x14ac:dyDescent="0.35"/>
  <cols>
    <col min="1" max="1" width="4.26953125" style="40" customWidth="1"/>
    <col min="2" max="2" width="16" style="40" bestFit="1" customWidth="1"/>
    <col min="3" max="3" width="13.26953125" style="40" customWidth="1"/>
    <col min="4" max="4" width="10.453125" style="61" customWidth="1"/>
    <col min="5" max="5" width="10.54296875" style="61" customWidth="1"/>
    <col min="6" max="6" width="12.7265625" style="61" customWidth="1"/>
    <col min="7" max="8" width="12.26953125" style="61" customWidth="1"/>
    <col min="9" max="9" width="11.26953125" style="61" bestFit="1" customWidth="1"/>
    <col min="10" max="10" width="10.1796875" style="61" bestFit="1" customWidth="1"/>
    <col min="11" max="11" width="11.7265625" style="61" customWidth="1"/>
    <col min="12" max="12" width="14.7265625" style="61" customWidth="1"/>
    <col min="13" max="13" width="10.453125" style="61" customWidth="1"/>
    <col min="14" max="14" width="16.7265625" style="61" customWidth="1"/>
    <col min="15" max="15" width="12.7265625" style="61" customWidth="1"/>
    <col min="16" max="16" width="17.453125" style="40" bestFit="1" customWidth="1"/>
    <col min="17" max="17" width="13" style="42" customWidth="1"/>
    <col min="18" max="18" width="7" style="42" customWidth="1"/>
    <col min="19" max="19" width="6" style="40" customWidth="1"/>
    <col min="20" max="21" width="9.7265625" style="40" customWidth="1"/>
    <col min="22" max="22" width="16.81640625" style="40" customWidth="1"/>
    <col min="23" max="23" width="15.1796875" style="40" bestFit="1" customWidth="1"/>
    <col min="24" max="29" width="9.1796875" style="40"/>
    <col min="30" max="31" width="9.1796875" style="40" hidden="1" customWidth="1"/>
    <col min="32" max="16384" width="9.1796875" style="40"/>
  </cols>
  <sheetData>
    <row r="1" spans="1:31" x14ac:dyDescent="0.35">
      <c r="A1" s="39" t="s">
        <v>24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31" ht="7.5" customHeight="1" x14ac:dyDescent="0.35">
      <c r="A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31" ht="30" customHeight="1" x14ac:dyDescent="0.35">
      <c r="A3" s="268" t="s">
        <v>95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106"/>
      <c r="U3" s="106"/>
    </row>
    <row r="4" spans="1:31" x14ac:dyDescent="0.35">
      <c r="A4" s="43"/>
      <c r="D4" s="41"/>
      <c r="E4" s="41"/>
      <c r="F4" s="41"/>
      <c r="G4" s="41"/>
      <c r="H4" s="41"/>
      <c r="I4" s="41"/>
      <c r="J4" s="41"/>
      <c r="K4" s="41"/>
      <c r="L4" s="72"/>
      <c r="M4" s="72"/>
      <c r="N4" s="72"/>
      <c r="O4" s="72"/>
      <c r="R4" s="44"/>
      <c r="S4" s="45"/>
      <c r="T4" s="45"/>
      <c r="U4" s="45"/>
    </row>
    <row r="5" spans="1:31" x14ac:dyDescent="0.35">
      <c r="A5" s="39" t="s">
        <v>62</v>
      </c>
      <c r="C5" s="40" t="s">
        <v>86</v>
      </c>
      <c r="D5" s="41"/>
      <c r="E5" s="41"/>
      <c r="F5" s="41"/>
      <c r="G5" s="41"/>
      <c r="H5" s="41"/>
      <c r="I5" s="41"/>
      <c r="J5" s="41"/>
      <c r="K5" s="41"/>
      <c r="L5" s="72" t="s">
        <v>94</v>
      </c>
      <c r="M5" s="72"/>
      <c r="N5" s="41" t="s">
        <v>94</v>
      </c>
      <c r="O5" s="72"/>
      <c r="Q5" s="42" t="s">
        <v>60</v>
      </c>
      <c r="R5" s="64" t="s">
        <v>159</v>
      </c>
      <c r="S5" s="45"/>
      <c r="T5" s="45"/>
      <c r="U5" s="45"/>
    </row>
    <row r="6" spans="1:31" x14ac:dyDescent="0.35">
      <c r="A6" s="39" t="s">
        <v>64</v>
      </c>
      <c r="C6" s="40" t="s">
        <v>53</v>
      </c>
      <c r="D6" s="41"/>
      <c r="E6" s="41"/>
      <c r="F6" s="41"/>
      <c r="G6" s="41"/>
      <c r="H6" s="41"/>
      <c r="I6" s="41"/>
      <c r="J6" s="41"/>
      <c r="K6" s="41"/>
      <c r="L6" s="41">
        <f>42689554.01-L24</f>
        <v>0</v>
      </c>
      <c r="M6" s="72"/>
      <c r="N6" s="72"/>
      <c r="O6" s="72"/>
      <c r="Q6" s="42" t="s">
        <v>93</v>
      </c>
      <c r="R6" s="46" t="s">
        <v>202</v>
      </c>
    </row>
    <row r="7" spans="1:31" x14ac:dyDescent="0.35">
      <c r="A7" s="43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31" s="50" customFormat="1" x14ac:dyDescent="0.35">
      <c r="A8" s="267" t="s">
        <v>3</v>
      </c>
      <c r="B8" s="267" t="s">
        <v>4</v>
      </c>
      <c r="C8" s="267" t="s">
        <v>23</v>
      </c>
      <c r="D8" s="267" t="s">
        <v>6</v>
      </c>
      <c r="E8" s="267"/>
      <c r="F8" s="267"/>
      <c r="G8" s="267"/>
      <c r="H8" s="267"/>
      <c r="I8" s="267"/>
      <c r="J8" s="267"/>
      <c r="K8" s="267"/>
      <c r="L8" s="267" t="s">
        <v>22</v>
      </c>
      <c r="M8" s="267"/>
      <c r="N8" s="267"/>
      <c r="O8" s="267"/>
      <c r="P8" s="47"/>
      <c r="Q8" s="48"/>
      <c r="R8" s="49"/>
      <c r="S8" s="47"/>
      <c r="V8" s="63"/>
      <c r="W8" s="51"/>
      <c r="AD8" s="50" t="s">
        <v>54</v>
      </c>
      <c r="AE8" s="50" t="s">
        <v>54</v>
      </c>
    </row>
    <row r="9" spans="1:31" s="50" customFormat="1" x14ac:dyDescent="0.35">
      <c r="A9" s="267"/>
      <c r="B9" s="267"/>
      <c r="C9" s="267"/>
      <c r="D9" s="267" t="s">
        <v>7</v>
      </c>
      <c r="E9" s="267"/>
      <c r="F9" s="267"/>
      <c r="G9" s="267"/>
      <c r="H9" s="269" t="s">
        <v>12</v>
      </c>
      <c r="I9" s="269"/>
      <c r="J9" s="269"/>
      <c r="K9" s="269"/>
      <c r="L9" s="270" t="s">
        <v>13</v>
      </c>
      <c r="M9" s="270"/>
      <c r="N9" s="270" t="s">
        <v>15</v>
      </c>
      <c r="O9" s="270"/>
      <c r="P9" s="52"/>
      <c r="Q9" s="265" t="s">
        <v>17</v>
      </c>
      <c r="R9" s="266"/>
      <c r="S9" s="52" t="s">
        <v>104</v>
      </c>
      <c r="T9" s="107"/>
      <c r="U9" s="107"/>
      <c r="W9" s="51"/>
      <c r="X9" s="51"/>
      <c r="AD9" s="50" t="s">
        <v>56</v>
      </c>
      <c r="AE9" s="50" t="s">
        <v>56</v>
      </c>
    </row>
    <row r="10" spans="1:31" s="50" customFormat="1" ht="29" x14ac:dyDescent="0.35">
      <c r="A10" s="267"/>
      <c r="B10" s="267"/>
      <c r="C10" s="267"/>
      <c r="D10" s="53" t="s">
        <v>8</v>
      </c>
      <c r="E10" s="53" t="s">
        <v>9</v>
      </c>
      <c r="F10" s="53" t="s">
        <v>10</v>
      </c>
      <c r="G10" s="53" t="s">
        <v>11</v>
      </c>
      <c r="H10" s="53" t="s">
        <v>0</v>
      </c>
      <c r="I10" s="53" t="s">
        <v>1</v>
      </c>
      <c r="J10" s="53" t="s">
        <v>2</v>
      </c>
      <c r="K10" s="53" t="s">
        <v>11</v>
      </c>
      <c r="L10" s="53" t="s">
        <v>14</v>
      </c>
      <c r="M10" s="53" t="s">
        <v>21</v>
      </c>
      <c r="N10" s="53" t="s">
        <v>14</v>
      </c>
      <c r="O10" s="53" t="s">
        <v>21</v>
      </c>
      <c r="P10" s="54" t="s">
        <v>16</v>
      </c>
      <c r="Q10" s="55" t="s">
        <v>19</v>
      </c>
      <c r="R10" s="55" t="s">
        <v>20</v>
      </c>
      <c r="S10" s="54"/>
      <c r="T10" s="108"/>
      <c r="U10" s="107"/>
      <c r="AD10" s="50" t="s">
        <v>55</v>
      </c>
      <c r="AE10" s="50" t="s">
        <v>55</v>
      </c>
    </row>
    <row r="11" spans="1:31" x14ac:dyDescent="0.35">
      <c r="A11" s="56">
        <v>1</v>
      </c>
      <c r="B11" s="57" t="s">
        <v>5</v>
      </c>
      <c r="C11" s="31">
        <f>dayeuhluhur!C11+wnrja!C11+Majenang!C11+cmggu!C11+krpucung!C11+ptmn!C11+cipari!C11+sdrja!C11+kdreja!C11+gdmangu!C11+'bt sari'!C11+kwanten!C11+jrlegi!C11+nswg!C11+binangun!C11+krya!C11+adpla!C11+maos!C11+smpg!C11+ksghn!C11+kamla!C11+'cilut-Prnt'!C11+'cilteng-prnt'!C11+'cilse-prnt'!C11+'Kecamatan (25)'!C11</f>
        <v>272.9799999999999</v>
      </c>
      <c r="D11" s="31">
        <f>dayeuhluhur!D11+wnrja!D11+Majenang!D11+cmggu!D11+krpucung!D11+ptmn!D11+cipari!D11+sdrja!D11+kdreja!D11+gdmangu!D11+'bt sari'!D11+kwanten!D11+jrlegi!D11+nswg!D11+binangun!D11+krya!D11+adpla!D11+maos!D11+smpg!D11+ksghn!D11+kamla!D11+'cilut-Prnt'!D11+'cilteng-prnt'!D11+'cilse-prnt'!D11+'Kecamatan (25)'!D11</f>
        <v>0</v>
      </c>
      <c r="E11" s="31">
        <f>dayeuhluhur!E11+wnrja!E11+Majenang!E11+cmggu!E11+krpucung!E11+ptmn!E11+cipari!E11+sdrja!E11+kdreja!E11+gdmangu!E11+'bt sari'!E11+kwanten!E11+jrlegi!E11+nswg!E11+binangun!E11+krya!E11+adpla!E11+maos!E11+smpg!E11+ksghn!E11+kamla!E11+'cilut-Prnt'!E11+'cilteng-prnt'!E11+'cilse-prnt'!E11+'Kecamatan (25)'!E11</f>
        <v>35.450000000000003</v>
      </c>
      <c r="F11" s="31">
        <f>dayeuhluhur!F11+wnrja!F11+Majenang!F11+cmggu!F11+krpucung!F11+ptmn!F11+cipari!F11+sdrja!F11+kdreja!F11+gdmangu!F11+'bt sari'!F11+kwanten!F11+jrlegi!F11+nswg!F11+binangun!F11+krya!F11+adpla!F11+maos!F11+smpg!F11+ksghn!F11+kamla!F11+'cilut-Prnt'!F11+'cilteng-prnt'!F11+'cilse-prnt'!F11+'Kecamatan (25)'!F11</f>
        <v>1</v>
      </c>
      <c r="G11" s="31">
        <f>C11+E11-F11</f>
        <v>307.42999999999989</v>
      </c>
      <c r="H11" s="31">
        <f>dayeuhluhur!H11+wnrja!H11+Majenang!H11+cmggu!H11+krpucung!H11+ptmn!H11+cipari!H11+sdrja!H11+kdreja!H11+gdmangu!H11+'bt sari'!H11+kwanten!H11+jrlegi!H11+nswg!H11+binangun!H11+krya!H11+adpla!H11+maos!H11+smpg!H11+ksghn!H11+kamla!H11+'cilut-Prnt'!H11+'cilteng-prnt'!H11+'cilse-prnt'!H11+'Kecamatan (25)'!H11</f>
        <v>62.519999999999996</v>
      </c>
      <c r="I11" s="31">
        <f>dayeuhluhur!I11+wnrja!I11+Majenang!I11+cmggu!I11+krpucung!I11+ptmn!I11+cipari!I11+sdrja!I11+kdreja!I11+gdmangu!I11+'bt sari'!I11+kwanten!I11+jrlegi!I11+nswg!I11+binangun!I11+krya!I11+adpla!I11+maos!I11+smpg!I11+ksghn!I11+kamla!I11+'cilut-Prnt'!I11+'cilteng-prnt'!I11+'cilse-prnt'!I11+'Kecamatan (25)'!I11</f>
        <v>222.83</v>
      </c>
      <c r="J11" s="31">
        <f>dayeuhluhur!J11+wnrja!J11+Majenang!J11+cmggu!J11+krpucung!J11+ptmn!J11+cipari!J11+sdrja!J11+kdreja!J11+gdmangu!J11+'bt sari'!J11+kwanten!J11+jrlegi!J11+nswg!J11+binangun!J11+krya!J11+adpla!J11+maos!J11+smpg!J11+ksghn!J11+kamla!J11+'cilut-Prnt'!J11+'cilteng-prnt'!J11+'cilse-prnt'!J11+'Kecamatan (25)'!J11</f>
        <v>22.08</v>
      </c>
      <c r="K11" s="31">
        <f>dayeuhluhur!K11+wnrja!K11+Majenang!K11+cmggu!K11+krpucung!K11+ptmn!K11+cipari!K11+sdrja!K11+kdreja!K11+gdmangu!K11+'bt sari'!K11+kwanten!K11+jrlegi!K11+nswg!K11+binangun!K11+krya!K11+adpla!K11+maos!K11+smpg!K11+ksghn!K11+kamla!K11+'cilut-Prnt'!K11+'cilteng-prnt'!K11+'cilse-prnt'!K11+'Kecamatan (25)'!K11</f>
        <v>307.43</v>
      </c>
      <c r="L11" s="31">
        <f>dayeuhluhur!L11+wnrja!L11+Majenang!L11+cmggu!L11+krpucung!L11+ptmn!L11+cipari!L11+sdrja!L11+kdreja!L11+gdmangu!L11+'bt sari'!L11+kwanten!L11+jrlegi!L11+nswg!L11+binangun!L11+krya!L11+adpla!L11+maos!L11+smpg!L11+ksghn!L11+kamla!L11+'cilut-Prnt'!L11+'cilteng-prnt'!L11+'cilse-prnt'!L11+'Kecamatan (25)'!L11</f>
        <v>363835.57</v>
      </c>
      <c r="M11" s="31">
        <v>1857.06</v>
      </c>
      <c r="N11" s="31">
        <f>dayeuhluhur!N11+wnrja!N11+Majenang!N11+cmggu!N11+krpucung!N11+ptmn!N11+cipari!O12+sdrja!N11+kdreja!N11+gdmangu!N11+'bt sari'!N11+kwanten!N11+jrlegi!N11+nswg!N11+binangun!N11+krya!N11+adpla!N11+maos!N11+smpg!N11+ksghn!N11+kamla!N11+'cilut-Prnt'!N11+'cilteng-prnt'!N11+'cilse-prnt'!N11+'Kecamatan (25)'!N11</f>
        <v>277152.32</v>
      </c>
      <c r="O11" s="31">
        <f>N11/I11</f>
        <v>1243.7836916034644</v>
      </c>
      <c r="P11" s="24" t="s">
        <v>67</v>
      </c>
      <c r="Q11" s="38">
        <f>dayeuhluhur!Q11+wnrja!Q11+Majenang!Q11+cmggu!Q11+krpucung!Q11+ptmn!Q11+cipari!Q11+sdrja!Q11+kdreja!Q11+gdmangu!Q11+'bt sari'!Q11+kwanten!Q11+jrlegi!Q11+nswg!Q11+binangun!Q11+krya!Q11+adpla!Q11+maos!Q11+smpg!Q11+ksghn!Q11+kamla!Q11+'cilut-Prnt'!Q11+'cilteng-prnt'!Q11+'cilse-prnt'!Q11+'Kecamatan (25)'!Q11</f>
        <v>690</v>
      </c>
      <c r="R11" s="38">
        <f>dayeuhluhur!R11+wnrja!R11+Majenang!R11+cmggu!R11+krpucung!R11+ptmn!R11+cipari!R11+sdrja!R11+kdreja!R11+gdmangu!R11+'bt sari'!R11+kwanten!R11+jrlegi!R11+nswg!R11+binangun!R11+krya!R11+adpla!R11+maos!R11+smpg!R11+ksghn!R11+kamla!R11+'cilut-Prnt'!R11+'cilteng-prnt'!R11+'cilse-prnt'!R11+'Kecamatan (25)'!R11</f>
        <v>0</v>
      </c>
      <c r="S11" s="24"/>
      <c r="T11" s="58"/>
      <c r="V11" s="109"/>
      <c r="W11" s="60"/>
      <c r="X11" s="59"/>
      <c r="Y11" s="59"/>
      <c r="AD11" s="40" t="e">
        <f>CONCATENATE(#REF!,B11)</f>
        <v>#REF!</v>
      </c>
      <c r="AE11" s="40">
        <f>IF(L11="","",L11/M11)</f>
        <v>195.9202018243891</v>
      </c>
    </row>
    <row r="12" spans="1:31" x14ac:dyDescent="0.35">
      <c r="A12" s="56">
        <v>2</v>
      </c>
      <c r="B12" s="57" t="s">
        <v>25</v>
      </c>
      <c r="C12" s="31">
        <f>dayeuhluhur!C12+wnrja!C12+Majenang!C12+cmggu!C12+krpucung!C12+ptmn!C12+cipari!C12+sdrja!C12+kdreja!C12+gdmangu!C12+'bt sari'!C12+kwanten!C12+jrlegi!C12+nswg!C12+binangun!C12+krya!C12+adpla!C12+maos!C12+smpg!C12+ksghn!C12+kamla!C12+'cilut-Prnt'!C12+'cilteng-prnt'!C12+'cilse-prnt'!C12+'Kecamatan (25)'!C12</f>
        <v>0</v>
      </c>
      <c r="D12" s="31">
        <f>dayeuhluhur!D12+wnrja!D12+Majenang!D12+cmggu!D12+krpucung!D12+ptmn!D12+cipari!D12+sdrja!D12+kdreja!D12+gdmangu!D12+'bt sari'!D12+kwanten!D12+jrlegi!D12+nswg!D12+binangun!D12+krya!D12+adpla!D12+maos!D12+smpg!D12+ksghn!D12+kamla!D12+'cilut-Prnt'!D12+'cilteng-prnt'!D12+'cilse-prnt'!D12+'Kecamatan (25)'!D12</f>
        <v>0</v>
      </c>
      <c r="E12" s="31">
        <f>dayeuhluhur!E12+wnrja!E12+Majenang!E12+cmggu!E12+krpucung!E12+ptmn!E12+cipari!E12+sdrja!E12+kdreja!E12+gdmangu!E12+'bt sari'!E12+kwanten!E12+jrlegi!E12+nswg!E12+binangun!E12+krya!E12+adpla!E12+maos!E12+smpg!E12+ksghn!E12+kamla!E12+'cilut-Prnt'!E12+'cilteng-prnt'!E12+'cilse-prnt'!E12+'Kecamatan (25)'!E12</f>
        <v>0</v>
      </c>
      <c r="F12" s="31">
        <f>dayeuhluhur!F12+wnrja!F12+Majenang!F12+cmggu!F12+krpucung!F12+ptmn!F12+cipari!F12+sdrja!F12+kdreja!F12+gdmangu!F12+'bt sari'!F12+kwanten!F12+jrlegi!F12+nswg!F12+binangun!F12+krya!F12+adpla!F12+maos!F12+smpg!F12+ksghn!F12+kamla!F12+'cilut-Prnt'!F12+'cilteng-prnt'!F12+'cilse-prnt'!F12+'Kecamatan (25)'!F12</f>
        <v>0</v>
      </c>
      <c r="G12" s="31">
        <f t="shared" ref="G12:G20" si="0">C12+E12-F12</f>
        <v>0</v>
      </c>
      <c r="H12" s="31">
        <f>dayeuhluhur!H12+wnrja!H12+Majenang!H12+cmggu!H12+krpucung!H12+ptmn!H12+cipari!H12+sdrja!H12+kdreja!H12+gdmangu!H12+'bt sari'!H12+kwanten!H12+jrlegi!H12+nswg!H12+binangun!H12+krya!H12+adpla!H12+maos!H12+smpg!H12+ksghn!H12+kamla!H12+'cilut-Prnt'!H12+'cilteng-prnt'!H12+'cilse-prnt'!H12+'Kecamatan (25)'!H12</f>
        <v>0</v>
      </c>
      <c r="I12" s="31">
        <f>dayeuhluhur!I12+wnrja!I12+Majenang!I12+cmggu!I12+krpucung!I12+ptmn!I12+cipari!I12+sdrja!I12+kdreja!I12+gdmangu!I12+'bt sari'!I12+kwanten!I12+jrlegi!I12+nswg!I12+binangun!I12+krya!I12+adpla!I12+maos!I12+smpg!I12+ksghn!I12+kamla!I12+'cilut-Prnt'!I12+'cilteng-prnt'!I12+'cilse-prnt'!I12+'Kecamatan (25)'!I12</f>
        <v>0</v>
      </c>
      <c r="J12" s="31">
        <f>dayeuhluhur!J12+wnrja!J12+Majenang!J12+cmggu!J12+krpucung!J12+ptmn!J12+cipari!J12+sdrja!J12+kdreja!J12+gdmangu!J12+'bt sari'!J12+kwanten!J12+jrlegi!J12+nswg!J12+binangun!J12+krya!J12+adpla!J12+maos!J12+smpg!J12+ksghn!J12+kamla!J12+'cilut-Prnt'!J12+'cilteng-prnt'!J12+'cilse-prnt'!J12+'Kecamatan (25)'!J12</f>
        <v>0</v>
      </c>
      <c r="K12" s="31">
        <f>dayeuhluhur!K12+wnrja!K12+Majenang!K12+cmggu!K12+krpucung!K12+ptmn!K12+cipari!K12+sdrja!K12+kdreja!K12+gdmangu!K12+'bt sari'!K12+kwanten!K12+jrlegi!K12+nswg!K12+binangun!K12+krya!K12+adpla!K12+maos!K12+smpg!K12+ksghn!K12+kamla!K12+'cilut-Prnt'!K12+'cilteng-prnt'!K12+'cilse-prnt'!K12+'Kecamatan (25)'!K12</f>
        <v>0</v>
      </c>
      <c r="L12" s="31">
        <f>dayeuhluhur!L12+wnrja!L12+Majenang!L12+cmggu!L12+krpucung!L12+ptmn!L12+cipari!L12+sdrja!L12+kdreja!L12+gdmangu!L12+'bt sari'!L12+kwanten!L12+jrlegi!L12+nswg!L12+binangun!L12+krya!L12+adpla!L12+maos!L12+smpg!L12+ksghn!L12+kamla!L12+'cilut-Prnt'!L12+'cilteng-prnt'!L12+'cilse-prnt'!L12+'Kecamatan (25)'!L12</f>
        <v>0</v>
      </c>
      <c r="M12" s="31"/>
      <c r="N12" s="31">
        <f>dayeuhluhur!N12+wnrja!N12+Majenang!N12+cmggu!N12+krpucung!N12+ptmn!N12+cipari!N12+sdrja!N12+kdreja!N12+gdmangu!N12+'bt sari'!N12+kwanten!N12+jrlegi!N12+nswg!N12+binangun!N12+krya!N12+adpla!N12+maos!N12+smpg!N12+ksghn!N12+kamla!N12+'cilut-Prnt'!N12+'cilteng-prnt'!N12+'cilse-prnt'!N12+'Kecamatan (25)'!N12</f>
        <v>0</v>
      </c>
      <c r="O12" s="31">
        <v>0</v>
      </c>
      <c r="P12" s="24" t="s">
        <v>68</v>
      </c>
      <c r="Q12" s="38">
        <f>dayeuhluhur!Q12+wnrja!Q12+Majenang!Q12+cmggu!Q12+krpucung!Q12+ptmn!Q12+cipari!Q12+sdrja!Q12+kdreja!Q12+gdmangu!Q12+'bt sari'!Q12+kwanten!Q12+jrlegi!Q12+nswg!Q12+binangun!Q12+krya!Q12+adpla!Q12+maos!Q12+smpg!Q12+ksghn!Q12+kamla!Q12+'cilut-Prnt'!Q12+'cilteng-prnt'!Q12+'cilse-prnt'!Q12+'Kecamatan (25)'!Q12</f>
        <v>0</v>
      </c>
      <c r="R12" s="38">
        <f>dayeuhluhur!R12+wnrja!R12+Majenang!R12+cmggu!R12+krpucung!R12+ptmn!R12+cipari!R12+sdrja!R12+kdreja!R12+gdmangu!R12+'bt sari'!R12+kwanten!R12+jrlegi!R12+nswg!R12+binangun!R12+krya!R12+adpla!R12+maos!R12+smpg!R12+ksghn!R12+kamla!R12+'cilut-Prnt'!R12+'cilteng-prnt'!R12+'cilse-prnt'!R12+'Kecamatan (25)'!R12</f>
        <v>0</v>
      </c>
      <c r="S12" s="24"/>
      <c r="T12" s="58"/>
      <c r="V12" s="60"/>
      <c r="AD12" s="40" t="e">
        <f>CONCATENATE(#REF!,B12)</f>
        <v>#REF!</v>
      </c>
      <c r="AE12" s="40" t="e">
        <f t="shared" ref="AE12:AE14" si="1">IF(L12="","",L12/M12)</f>
        <v>#DIV/0!</v>
      </c>
    </row>
    <row r="13" spans="1:31" x14ac:dyDescent="0.35">
      <c r="A13" s="56">
        <v>3</v>
      </c>
      <c r="B13" s="57" t="s">
        <v>26</v>
      </c>
      <c r="C13" s="31">
        <f>dayeuhluhur!C13+wnrja!C13+Majenang!C13+cmggu!C13+krpucung!C13+ptmn!C13+cipari!C13+sdrja!C13+kdreja!C13+gdmangu!C13+'bt sari'!C13+kwanten!C13+jrlegi!C13+nswg!C13+binangun!C13+krya!C13+adpla!C13+maos!C13+smpg!C13+ksghn!C13+kamla!C13+'cilut-Prnt'!C13+'cilteng-prnt'!C13+'cilse-prnt'!C13+'Kecamatan (25)'!C13</f>
        <v>0</v>
      </c>
      <c r="D13" s="31">
        <f>dayeuhluhur!D13+wnrja!D13+Majenang!D13+cmggu!D13+krpucung!D13+ptmn!D13+cipari!D13+sdrja!D13+kdreja!D13+gdmangu!D13+'bt sari'!D13+kwanten!D13+jrlegi!D13+nswg!D13+binangun!D13+krya!D13+adpla!D13+maos!D13+smpg!D13+ksghn!D13+kamla!D13+'cilut-Prnt'!D13+'cilteng-prnt'!D13+'cilse-prnt'!D13+'Kecamatan (25)'!D13</f>
        <v>0</v>
      </c>
      <c r="E13" s="31">
        <f>dayeuhluhur!E13+wnrja!E13+Majenang!E13+cmggu!E13+krpucung!E13+ptmn!E13+cipari!E13+sdrja!E13+kdreja!E13+gdmangu!E13+'bt sari'!E13+kwanten!E13+jrlegi!E13+nswg!E13+binangun!E13+krya!E13+adpla!E13+maos!E13+smpg!E13+ksghn!E13+kamla!E13+'cilut-Prnt'!E13+'cilteng-prnt'!E13+'cilse-prnt'!E13+'Kecamatan (25)'!E13</f>
        <v>0</v>
      </c>
      <c r="F13" s="31">
        <f>dayeuhluhur!F13+wnrja!F13+Majenang!F13+cmggu!F13+krpucung!F13+ptmn!F13+cipari!F13+sdrja!F13+kdreja!F13+gdmangu!F13+'bt sari'!F13+kwanten!F13+jrlegi!F13+nswg!F13+binangun!F13+krya!F13+adpla!F13+maos!F13+smpg!F13+ksghn!F13+kamla!F13+'cilut-Prnt'!F13+'cilteng-prnt'!F13+'cilse-prnt'!F13+'Kecamatan (25)'!F13</f>
        <v>0</v>
      </c>
      <c r="G13" s="31">
        <f t="shared" si="0"/>
        <v>0</v>
      </c>
      <c r="H13" s="31">
        <f>dayeuhluhur!H13+wnrja!H13+Majenang!H13+cmggu!H13+krpucung!H13+ptmn!H13+cipari!H13+sdrja!H13+kdreja!H13+gdmangu!H13+'bt sari'!H13+kwanten!H13+jrlegi!H13+nswg!H13+binangun!H13+krya!H13+adpla!H13+maos!H13+smpg!H13+ksghn!H13+kamla!H13+'cilut-Prnt'!H13+'cilteng-prnt'!H13+'cilse-prnt'!H13+'Kecamatan (25)'!H13</f>
        <v>0</v>
      </c>
      <c r="I13" s="31">
        <f>dayeuhluhur!I13+wnrja!I13+Majenang!I13+cmggu!I13+krpucung!I13+ptmn!I13+cipari!I13+sdrja!I13+kdreja!I13+gdmangu!I13+'bt sari'!I13+kwanten!I13+jrlegi!I13+nswg!I13+binangun!I13+krya!I13+adpla!I13+maos!I13+smpg!I13+ksghn!I13+kamla!I13+'cilut-Prnt'!I13+'cilteng-prnt'!I13+'cilse-prnt'!I13+'Kecamatan (25)'!I13</f>
        <v>0</v>
      </c>
      <c r="J13" s="31">
        <f>dayeuhluhur!J13+wnrja!J13+Majenang!J13+cmggu!J13+krpucung!J13+ptmn!J13+cipari!J13+sdrja!J13+kdreja!J13+gdmangu!J13+'bt sari'!J13+kwanten!J13+jrlegi!J13+nswg!J13+binangun!J13+krya!J13+adpla!J13+maos!J13+smpg!J13+ksghn!J13+kamla!J13+'cilut-Prnt'!J13+'cilteng-prnt'!J13+'cilse-prnt'!J13+'Kecamatan (25)'!J13</f>
        <v>0</v>
      </c>
      <c r="K13" s="31">
        <f>dayeuhluhur!K13+wnrja!K13+Majenang!K13+cmggu!K13+krpucung!K13+ptmn!K13+cipari!K13+sdrja!K13+kdreja!K13+gdmangu!K13+'bt sari'!K13+kwanten!K13+jrlegi!K13+nswg!K13+binangun!K13+krya!K13+adpla!K13+maos!K13+smpg!K13+ksghn!K13+kamla!K13+'cilut-Prnt'!K13+'cilteng-prnt'!K13+'cilse-prnt'!K13+'Kecamatan (25)'!K13</f>
        <v>0</v>
      </c>
      <c r="L13" s="31">
        <f>dayeuhluhur!L13+wnrja!L13+Majenang!L13+cmggu!L13+krpucung!L13+ptmn!L13+cipari!L13+sdrja!L13+kdreja!L13+gdmangu!L13+'bt sari'!L13+kwanten!L13+jrlegi!L13+nswg!L13+binangun!L13+krya!L13+adpla!L13+maos!L13+smpg!L13+ksghn!L13+kamla!L13+'cilut-Prnt'!L13+'cilteng-prnt'!L13+'cilse-prnt'!L13+'Kecamatan (25)'!L13</f>
        <v>0</v>
      </c>
      <c r="M13" s="31"/>
      <c r="N13" s="31">
        <f>dayeuhluhur!N13+wnrja!N13+Majenang!N13+cmggu!N13+krpucung!N13+ptmn!N13+cipari!N13+sdrja!N13+kdreja!N13+gdmangu!N13+'bt sari'!N13+kwanten!N13+jrlegi!N13+nswg!N13+binangun!N13+krya!N13+adpla!N13+maos!N13+smpg!N13+ksghn!N13+kamla!N13+'cilut-Prnt'!N13+'cilteng-prnt'!N13+'cilse-prnt'!N13+'Kecamatan (25)'!N13</f>
        <v>0</v>
      </c>
      <c r="O13" s="31">
        <f>dayeuhluhur!O13+wnrja!O13+Majenang!O13+cmggu!O13+krpucung!O13+ptmn!O13+cipari!O13+sdrja!O13+kdreja!O13+gdmangu!O13+'bt sari'!O13+kwanten!O13+jrlegi!O13+nswg!O13+binangun!O13+krya!O13+adpla!O13+maos!O13+smpg!O13+ksghn!O13+kamla!O13+'cilut-Prnt'!O13+'cilteng-prnt'!O13+'cilse-prnt'!O13+'Kecamatan (25)'!O13</f>
        <v>0</v>
      </c>
      <c r="P13" s="24" t="s">
        <v>68</v>
      </c>
      <c r="Q13" s="38">
        <f>dayeuhluhur!Q13+wnrja!Q13+Majenang!Q13+cmggu!Q13+krpucung!Q13+ptmn!Q13+cipari!Q13+sdrja!Q13+kdreja!Q13+gdmangu!Q13+'bt sari'!Q13+kwanten!Q13+jrlegi!Q13+nswg!Q13+binangun!Q13+krya!Q13+adpla!Q13+maos!Q13+smpg!Q13+ksghn!Q13+kamla!Q13+'cilut-Prnt'!Q13+'cilteng-prnt'!Q13+'cilse-prnt'!Q13+'Kecamatan (25)'!Q13</f>
        <v>0</v>
      </c>
      <c r="R13" s="38">
        <f>dayeuhluhur!R13+wnrja!R13+Majenang!R13+cmggu!R13+krpucung!R13+ptmn!R13+cipari!R13+sdrja!R13+kdreja!R13+gdmangu!R13+'bt sari'!R13+kwanten!R13+jrlegi!R13+nswg!R13+binangun!R13+krya!R13+adpla!R13+maos!R13+smpg!R13+ksghn!R13+kamla!R13+'cilut-Prnt'!R13+'cilteng-prnt'!R13+'cilse-prnt'!R13+'Kecamatan (25)'!R13</f>
        <v>0</v>
      </c>
      <c r="S13" s="24"/>
      <c r="T13" s="58"/>
      <c r="AD13" s="40" t="e">
        <f>CONCATENATE(#REF!,B13)</f>
        <v>#REF!</v>
      </c>
      <c r="AE13" s="40" t="e">
        <f t="shared" si="1"/>
        <v>#DIV/0!</v>
      </c>
    </row>
    <row r="14" spans="1:31" x14ac:dyDescent="0.35">
      <c r="A14" s="56">
        <v>4</v>
      </c>
      <c r="B14" s="57" t="s">
        <v>27</v>
      </c>
      <c r="C14" s="31">
        <f>dayeuhluhur!C14+wnrja!C14+Majenang!C14+cmggu!C14+krpucung!C14+ptmn!C14+cipari!C14+sdrja!C14+kdreja!C14+gdmangu!C14+'bt sari'!C14+kwanten!C14+jrlegi!C14+nswg!C14+binangun!C14+krya!C14+adpla!C14+maos!C14+smpg!C14+ksghn!C14+kamla!C14+'cilut-Prnt'!C14+'cilteng-prnt'!C14+'cilse-prnt'!C14+'Kecamatan (25)'!C14</f>
        <v>0</v>
      </c>
      <c r="D14" s="31">
        <f>dayeuhluhur!D14+wnrja!D14+Majenang!D14+cmggu!D14+krpucung!D14+ptmn!D14+cipari!D14+sdrja!D14+kdreja!D14+gdmangu!D14+'bt sari'!D14+kwanten!D14+jrlegi!D14+nswg!D14+binangun!D14+krya!D14+adpla!D14+maos!D14+smpg!D14+ksghn!D14+kamla!D14+'cilut-Prnt'!D14+'cilteng-prnt'!D14+'cilse-prnt'!D14+'Kecamatan (25)'!D14</f>
        <v>0</v>
      </c>
      <c r="E14" s="31">
        <f>dayeuhluhur!E14+wnrja!E14+Majenang!E14+cmggu!E14+krpucung!E14+ptmn!E14+cipari!E14+sdrja!E14+kdreja!E14+gdmangu!E14+'bt sari'!E14+kwanten!E14+jrlegi!E14+nswg!E14+binangun!E14+krya!E14+adpla!E14+maos!E14+smpg!E14+ksghn!E14+kamla!E14+'cilut-Prnt'!E14+'cilteng-prnt'!E14+'cilse-prnt'!E14+'Kecamatan (25)'!E14</f>
        <v>0</v>
      </c>
      <c r="F14" s="31">
        <f>dayeuhluhur!F14+wnrja!F14+Majenang!F14+cmggu!F14+krpucung!F14+ptmn!F14+cipari!F14+sdrja!F14+kdreja!F14+gdmangu!F14+'bt sari'!F14+kwanten!F14+jrlegi!F14+nswg!F14+binangun!F14+krya!F14+adpla!F14+maos!F14+smpg!F14+ksghn!F14+kamla!F14+'cilut-Prnt'!F14+'cilteng-prnt'!F14+'cilse-prnt'!F14+'Kecamatan (25)'!F14</f>
        <v>0</v>
      </c>
      <c r="G14" s="31">
        <f t="shared" si="0"/>
        <v>0</v>
      </c>
      <c r="H14" s="31">
        <f>dayeuhluhur!H14+wnrja!H14+Majenang!H14+cmggu!H14+krpucung!H14+ptmn!H14+cipari!H14+sdrja!H14+kdreja!H14+gdmangu!H14+'bt sari'!H14+kwanten!H14+jrlegi!H14+nswg!H14+binangun!H14+krya!H14+adpla!H14+maos!H14+smpg!H14+ksghn!H14+kamla!H14+'cilut-Prnt'!H14+'cilteng-prnt'!H14+'cilse-prnt'!H14+'Kecamatan (25)'!H14</f>
        <v>0</v>
      </c>
      <c r="I14" s="31">
        <f>dayeuhluhur!I14+wnrja!I14+Majenang!I14+cmggu!I14+krpucung!I14+ptmn!I14+cipari!I14+sdrja!I14+kdreja!I14+gdmangu!I14+'bt sari'!I14+kwanten!I14+jrlegi!I14+nswg!I14+binangun!I14+krya!I14+adpla!I14+maos!I14+smpg!I14+ksghn!I14+kamla!I14+'cilut-Prnt'!I14+'cilteng-prnt'!I14+'cilse-prnt'!I14+'Kecamatan (25)'!I14</f>
        <v>0</v>
      </c>
      <c r="J14" s="31">
        <f>dayeuhluhur!J14+wnrja!J14+Majenang!J14+cmggu!J14+krpucung!J14+ptmn!J14+cipari!J14+sdrja!J14+kdreja!J14+gdmangu!J14+'bt sari'!J14+kwanten!J14+jrlegi!J14+nswg!J14+binangun!J14+krya!J14+adpla!J14+maos!J14+smpg!J14+ksghn!J14+kamla!J14+'cilut-Prnt'!J14+'cilteng-prnt'!J14+'cilse-prnt'!J14+'Kecamatan (25)'!J14</f>
        <v>0</v>
      </c>
      <c r="K14" s="31">
        <f>dayeuhluhur!K14+wnrja!K14+Majenang!K14+cmggu!K14+krpucung!K14+ptmn!K14+cipari!K14+sdrja!K14+kdreja!K14+gdmangu!K14+'bt sari'!K14+kwanten!K14+jrlegi!K14+nswg!K14+binangun!K14+krya!K14+adpla!K14+maos!K14+smpg!K14+ksghn!K14+kamla!K14+'cilut-Prnt'!K14+'cilteng-prnt'!K14+'cilse-prnt'!K14+'Kecamatan (25)'!K14</f>
        <v>0</v>
      </c>
      <c r="L14" s="31">
        <f>dayeuhluhur!L14+wnrja!L14+Majenang!L14+cmggu!L14+krpucung!L14+ptmn!L14+cipari!L14+sdrja!L14+kdreja!L14+gdmangu!L14+'bt sari'!L14+kwanten!L14+jrlegi!L14+nswg!L14+binangun!L14+krya!L14+adpla!L14+maos!L14+smpg!L14+ksghn!L14+kamla!L14+'cilut-Prnt'!L14+'cilteng-prnt'!L14+'cilse-prnt'!L14+'Kecamatan (25)'!L14</f>
        <v>0</v>
      </c>
      <c r="M14" s="31"/>
      <c r="N14" s="31">
        <f>dayeuhluhur!N14+wnrja!N14+Majenang!N14+cmggu!N14+krpucung!N14+ptmn!N14+cipari!N14+sdrja!N14+kdreja!N14+gdmangu!N14+'bt sari'!N14+kwanten!N14+jrlegi!N14+nswg!N14+binangun!N14+krya!N14+adpla!N14+maos!N14+smpg!N14+ksghn!N14+kamla!N14+'cilut-Prnt'!N14+'cilteng-prnt'!N14+'cilse-prnt'!N14+'Kecamatan (25)'!N14</f>
        <v>0</v>
      </c>
      <c r="O14" s="31">
        <f>dayeuhluhur!O14+wnrja!O14+Majenang!O14+cmggu!O14+krpucung!O14+ptmn!O14+cipari!O14+sdrja!O14+kdreja!O14+gdmangu!O14+'bt sari'!O14+kwanten!O14+jrlegi!O14+nswg!O14+binangun!O14+krya!O14+adpla!O14+maos!O14+smpg!O14+ksghn!O14+kamla!O14+'cilut-Prnt'!O14+'cilteng-prnt'!O14+'cilse-prnt'!O14+'Kecamatan (25)'!O14</f>
        <v>0</v>
      </c>
      <c r="P14" s="24" t="s">
        <v>69</v>
      </c>
      <c r="Q14" s="38">
        <f>dayeuhluhur!Q14+wnrja!Q14+Majenang!Q14+cmggu!Q14+krpucung!Q14+ptmn!Q14+cipari!Q14+sdrja!Q14+kdreja!Q14+gdmangu!Q14+'bt sari'!Q14+kwanten!Q14+jrlegi!Q14+nswg!Q14+binangun!Q14+krya!Q14+adpla!Q14+maos!Q14+smpg!Q14+ksghn!Q14+kamla!Q14+'cilut-Prnt'!Q14+'cilteng-prnt'!Q14+'cilse-prnt'!Q14+'Kecamatan (25)'!Q14</f>
        <v>0</v>
      </c>
      <c r="R14" s="38">
        <f>dayeuhluhur!R14+wnrja!R14+Majenang!R14+cmggu!R14+krpucung!R14+ptmn!R14+cipari!R14+sdrja!R14+kdreja!R14+gdmangu!R14+'bt sari'!R14+kwanten!R14+jrlegi!R14+nswg!R14+binangun!R14+krya!R14+adpla!R14+maos!R14+smpg!R14+ksghn!R14+kamla!R14+'cilut-Prnt'!R14+'cilteng-prnt'!R14+'cilse-prnt'!R14+'Kecamatan (25)'!R14</f>
        <v>0</v>
      </c>
      <c r="S14" s="24"/>
      <c r="AD14" s="40" t="e">
        <f>CONCATENATE(#REF!,B14)</f>
        <v>#REF!</v>
      </c>
      <c r="AE14" s="40" t="e">
        <f t="shared" si="1"/>
        <v>#DIV/0!</v>
      </c>
    </row>
    <row r="15" spans="1:31" x14ac:dyDescent="0.35">
      <c r="A15" s="56">
        <v>5</v>
      </c>
      <c r="B15" s="57" t="s">
        <v>28</v>
      </c>
      <c r="C15" s="31">
        <f>dayeuhluhur!C15+wnrja!C15+Majenang!C15+cmggu!C15+krpucung!C15+ptmn!C15+cipari!C15+sdrja!C15+kdreja!C15+gdmangu!C15+'bt sari'!C15+kwanten!C15+jrlegi!C15+nswg!C15+binangun!C15+krya!C15+adpla!C15+maos!C15+smpg!C15+ksghn!C15+kamla!C15+'cilut-Prnt'!C15+'cilteng-prnt'!C15+'cilse-prnt'!C15+'Kecamatan (25)'!C15</f>
        <v>2313.0699999999997</v>
      </c>
      <c r="D15" s="31">
        <f>dayeuhluhur!D15+wnrja!D15+Majenang!D15+cmggu!D15+krpucung!D15+ptmn!D15+cipari!D15+sdrja!D15+kdreja!D15+gdmangu!D15+'bt sari'!D15+kwanten!D15+jrlegi!D15+nswg!D15+binangun!D15+krya!D15+adpla!D15+maos!D15+smpg!D15+ksghn!D15+kamla!D15+'cilut-Prnt'!D15+'cilteng-prnt'!D15+'cilse-prnt'!D15+'Kecamatan (25)'!D15</f>
        <v>5</v>
      </c>
      <c r="E15" s="31">
        <f>dayeuhluhur!E15+wnrja!E15+Majenang!E15+cmggu!E15+krpucung!E15+ptmn!E15+cipari!E15+sdrja!E15+kdreja!E15+gdmangu!E15+'bt sari'!E15+kwanten!E15+jrlegi!E15+nswg!E15+binangun!E15+krya!E15+adpla!E15+maos!E15+smpg!E15+ksghn!E15+kamla!E15+'cilut-Prnt'!E15+'cilteng-prnt'!E15+'cilse-prnt'!E15+'Kecamatan (25)'!E15</f>
        <v>50.5</v>
      </c>
      <c r="F15" s="31">
        <f>dayeuhluhur!F15+wnrja!F15+Majenang!F15+cmggu!F15+krpucung!F15+ptmn!F15+cipari!F15+sdrja!F15+kdreja!F15+gdmangu!F15+'bt sari'!F15+kwanten!F15+jrlegi!F15+nswg!F15+binangun!F15+krya!F15+adpla!F15+maos!F15+smpg!F15+ksghn!F15+kamla!F15+'cilut-Prnt'!F15+'cilteng-prnt'!F15+'cilse-prnt'!F15+'Kecamatan (25)'!F15</f>
        <v>1</v>
      </c>
      <c r="G15" s="31">
        <f t="shared" si="0"/>
        <v>2362.5699999999997</v>
      </c>
      <c r="H15" s="31">
        <f>dayeuhluhur!H15+wnrja!H15+Majenang!H15+cmggu!H15+krpucung!H15+ptmn!H15+cipari!H15+sdrja!H15+kdreja!H15+gdmangu!H15+'bt sari'!H15+kwanten!H15+jrlegi!H15+nswg!H15+binangun!H15+krya!H15+adpla!H15+maos!H15+smpg!H15+ksghn!H15+kamla!H15+'cilut-Prnt'!H15+'cilteng-prnt'!H15+'cilse-prnt'!H15+'Kecamatan (25)'!H15</f>
        <v>1028.1300000000001</v>
      </c>
      <c r="I15" s="31">
        <f>dayeuhluhur!I15+wnrja!I15+Majenang!I15+cmggu!I15+krpucung!I15+ptmn!I15+cipari!I15+sdrja!I15+kdreja!I15+gdmangu!I15+'bt sari'!I15+kwanten!I15+jrlegi!I15+nswg!I15+binangun!I15+krya!I15+adpla!I15+maos!I15+smpg!I15+ksghn!I15+kamla!I15+'cilut-Prnt'!I15+'cilteng-prnt'!I15+'cilse-prnt'!I15+'Kecamatan (25)'!I15</f>
        <v>970.79000000000008</v>
      </c>
      <c r="J15" s="31">
        <f>dayeuhluhur!J15+wnrja!J15+Majenang!J15+cmggu!J15+krpucung!J15+ptmn!J15+cipari!J15+sdrja!J15+kdreja!J15+gdmangu!J15+'bt sari'!J15+kwanten!J15+jrlegi!J15+nswg!J15+binangun!J15+krya!J15+adpla!J15+maos!J15+smpg!J15+ksghn!J15+kamla!J15+'cilut-Prnt'!J15+'cilteng-prnt'!J15+'cilse-prnt'!J15+'Kecamatan (25)'!J15</f>
        <v>363.65000000000003</v>
      </c>
      <c r="K15" s="31">
        <f>dayeuhluhur!K15+wnrja!K15+Majenang!K15+cmggu!K15+krpucung!K15+ptmn!K15+cipari!K15+sdrja!K15+kdreja!K15+gdmangu!K15+'bt sari'!K15+kwanten!K15+jrlegi!K15+nswg!K15+binangun!K15+krya!K15+adpla!K15+maos!K15+smpg!K15+ksghn!K15+kamla!K15+'cilut-Prnt'!K15+'cilteng-prnt'!K15+'cilse-prnt'!K15+'Kecamatan (25)'!K15</f>
        <v>2362.5699999999997</v>
      </c>
      <c r="L15" s="31">
        <f>dayeuhluhur!L15+wnrja!L15+Majenang!L15+cmggu!L15+krpucung!L15+ptmn!L15+cipari!L15+sdrja!L15+kdreja!L15+gdmangu!L15+'bt sari'!L15+kwanten!L15+jrlegi!L15+nswg!L15+binangun!L15+krya!L15+adpla!L15+maos!L15+smpg!L15+ksghn!L15+kamla!L15+'cilut-Prnt'!L15+'cilteng-prnt'!L15+'cilse-prnt'!L15+'Kecamatan (25)'!L15</f>
        <v>653374.55000000005</v>
      </c>
      <c r="M15" s="31">
        <v>721.94</v>
      </c>
      <c r="N15" s="31">
        <f>dayeuhluhur!N15+wnrja!N15+Majenang!N15+cmggu!N15+krpucung!N15+ptmn!N15+cipari!N15+sdrja!N15+kdreja!N15+gdmangu!N15+'bt sari'!N15+kwanten!N15+jrlegi!N15+nswg!N15+binangun!N15+krya!N15+adpla!N15+maos!N15+smpg!N15+ksghn!N15+kamla!N15+'cilut-Prnt'!N15+'cilteng-prnt'!N15+'cilse-prnt'!N15+'Kecamatan (25)'!N15</f>
        <v>335595.74239999993</v>
      </c>
      <c r="O15" s="31">
        <f>N15/I15</f>
        <v>345.69344801656371</v>
      </c>
      <c r="P15" s="24" t="s">
        <v>70</v>
      </c>
      <c r="Q15" s="38">
        <f>dayeuhluhur!Q15+wnrja!Q15+Majenang!Q15+cmggu!Q15+krpucung!Q15+ptmn!Q15+cipari!Q15+sdrja!Q15+kdreja!Q15+gdmangu!Q15+'bt sari'!Q15+kwanten!Q15+jrlegi!Q15+nswg!Q15+binangun!Q15+krya!Q15+adpla!Q15+maos!Q15+smpg!Q15+ksghn!Q15+kamla!Q15+'cilut-Prnt'!Q15+'cilteng-prnt'!Q15+'cilse-prnt'!Q15+'Kecamatan (25)'!Q15</f>
        <v>7116</v>
      </c>
      <c r="R15" s="38">
        <f>dayeuhluhur!R15+wnrja!R15+Majenang!R15+cmggu!R15+krpucung!R15+ptmn!R15+cipari!R15+sdrja!R15+kdreja!R15+gdmangu!R15+'bt sari'!R15+kwanten!R15+jrlegi!R15+nswg!R15+binangun!R15+krya!R15+adpla!R15+maos!R15+smpg!R15+ksghn!R15+kamla!R15+'cilut-Prnt'!R15+'cilteng-prnt'!R15+'cilse-prnt'!R15+'Kecamatan (25)'!R15</f>
        <v>0</v>
      </c>
      <c r="S15" s="24"/>
      <c r="V15" s="60"/>
      <c r="W15" s="59"/>
    </row>
    <row r="16" spans="1:31" x14ac:dyDescent="0.35">
      <c r="A16" s="56">
        <v>6</v>
      </c>
      <c r="B16" s="57" t="s">
        <v>29</v>
      </c>
      <c r="C16" s="31">
        <f>dayeuhluhur!C16+wnrja!C16+Majenang!C16+cmggu!C16+krpucung!C16+ptmn!C16+cipari!C16+sdrja!C16+kdreja!C16+gdmangu!C16+'bt sari'!C16+kwanten!C16+jrlegi!C16+nswg!C16+binangun!C16+krya!C16+adpla!C16+maos!C16+smpg!C16+ksghn!C16+kamla!C16+'cilut-Prnt'!C16+'cilteng-prnt'!C16+'cilse-prnt'!C16+'Kecamatan (25)'!C16</f>
        <v>0</v>
      </c>
      <c r="D16" s="31">
        <f>dayeuhluhur!D16+wnrja!D16+Majenang!D16+cmggu!D16+krpucung!D16+ptmn!D16+cipari!D16+sdrja!D16+kdreja!D16+gdmangu!D16+'bt sari'!D16+kwanten!D16+jrlegi!D16+nswg!D16+binangun!D16+krya!D16+adpla!D16+maos!D16+smpg!D16+ksghn!D16+kamla!D16+'cilut-Prnt'!D16+'cilteng-prnt'!D16+'cilse-prnt'!D16+'Kecamatan (25)'!D16</f>
        <v>0</v>
      </c>
      <c r="E16" s="31">
        <f>dayeuhluhur!E16+wnrja!E16+Majenang!E16+cmggu!E16+krpucung!E16+ptmn!E16+cipari!E16+sdrja!E16+kdreja!E16+gdmangu!E16+'bt sari'!E16+kwanten!E16+jrlegi!E16+nswg!E16+binangun!E16+krya!E16+adpla!E16+maos!E16+smpg!E16+ksghn!E16+kamla!E16+'cilut-Prnt'!E16+'cilteng-prnt'!E16+'cilse-prnt'!E16+'Kecamatan (25)'!E16</f>
        <v>0</v>
      </c>
      <c r="F16" s="31">
        <f>dayeuhluhur!F16+wnrja!F16+Majenang!F16+cmggu!F16+krpucung!F16+ptmn!F16+cipari!F16+sdrja!F16+kdreja!F16+gdmangu!F16+'bt sari'!F16+kwanten!F16+jrlegi!F16+nswg!F16+binangun!F16+krya!F16+adpla!F16+maos!F16+smpg!F16+ksghn!F16+kamla!F16+'cilut-Prnt'!F16+'cilteng-prnt'!F16+'cilse-prnt'!F16+'Kecamatan (25)'!F16</f>
        <v>0</v>
      </c>
      <c r="G16" s="31">
        <f t="shared" si="0"/>
        <v>0</v>
      </c>
      <c r="H16" s="31">
        <f>dayeuhluhur!H16+wnrja!H16+Majenang!H16+cmggu!H16+krpucung!H16+ptmn!H16+cipari!H16+sdrja!H16+kdreja!H16+gdmangu!H16+'bt sari'!H16+kwanten!H16+jrlegi!H16+nswg!H16+binangun!H16+krya!H16+adpla!H16+maos!H16+smpg!H16+ksghn!H16+kamla!H16+'cilut-Prnt'!H16+'cilteng-prnt'!H16+'cilse-prnt'!H16+'Kecamatan (25)'!H16</f>
        <v>0</v>
      </c>
      <c r="I16" s="31">
        <f>dayeuhluhur!I16+wnrja!I16+Majenang!I16+cmggu!I16+krpucung!I16+ptmn!I16+cipari!I16+sdrja!I16+kdreja!I16+gdmangu!I16+'bt sari'!I16+kwanten!I16+jrlegi!I16+nswg!I16+binangun!I16+krya!I16+adpla!I16+maos!I16+smpg!I16+ksghn!I16+kamla!I16+'cilut-Prnt'!I16+'cilteng-prnt'!I16+'cilse-prnt'!I16+'Kecamatan (25)'!I16</f>
        <v>0</v>
      </c>
      <c r="J16" s="31">
        <f>dayeuhluhur!J16+wnrja!J16+Majenang!J16+cmggu!J16+krpucung!J16+ptmn!J16+cipari!J16+sdrja!J16+kdreja!J16+gdmangu!J16+'bt sari'!J16+kwanten!J16+jrlegi!J16+nswg!J16+binangun!J16+krya!J16+adpla!J16+maos!J16+smpg!J16+ksghn!J16+kamla!J16+'cilut-Prnt'!J16+'cilteng-prnt'!J16+'cilse-prnt'!J16+'Kecamatan (25)'!J16</f>
        <v>0</v>
      </c>
      <c r="K16" s="31">
        <f>dayeuhluhur!K16+wnrja!K16+Majenang!K16+cmggu!K16+krpucung!K16+ptmn!K16+cipari!K16+sdrja!K16+kdreja!K16+gdmangu!K16+'bt sari'!K16+kwanten!K16+jrlegi!K16+nswg!K16+binangun!K16+krya!K16+adpla!K16+maos!K16+smpg!K16+ksghn!K16+kamla!K16+'cilut-Prnt'!K16+'cilteng-prnt'!K16+'cilse-prnt'!K16+'Kecamatan (25)'!K16</f>
        <v>0</v>
      </c>
      <c r="L16" s="31">
        <f>dayeuhluhur!L16+wnrja!L16+Majenang!L16+cmggu!L16+krpucung!L16+ptmn!L16+cipari!L16+sdrja!L16+kdreja!L16+gdmangu!L16+'bt sari'!L16+kwanten!L16+jrlegi!L16+nswg!L16+binangun!L16+krya!L16+adpla!L16+maos!L16+smpg!L16+ksghn!L16+kamla!L16+'cilut-Prnt'!L16+'cilteng-prnt'!L16+'cilse-prnt'!L16+'Kecamatan (25)'!L16</f>
        <v>0</v>
      </c>
      <c r="M16" s="31"/>
      <c r="N16" s="31">
        <f>dayeuhluhur!N16+wnrja!N16+Majenang!N16+cmggu!N16+krpucung!N16+ptmn!N16+cipari!N16+sdrja!N16+kdreja!N16+gdmangu!N16+'bt sari'!N16+kwanten!N16+jrlegi!N16+nswg!N16+binangun!N16+krya!N16+adpla!N16+maos!N16+smpg!N16+ksghn!N16+kamla!N16+'cilut-Prnt'!N16+'cilteng-prnt'!N16+'cilse-prnt'!N16+'Kecamatan (25)'!N16</f>
        <v>0</v>
      </c>
      <c r="O16" s="31">
        <f>dayeuhluhur!O16+wnrja!O16+Majenang!O16+cmggu!O16+krpucung!O16+ptmn!O16+cipari!O16+sdrja!O16+kdreja!O16+gdmangu!O16+'bt sari'!O16+kwanten!O16+jrlegi!O16+nswg!O16+binangun!O16+krya!O16+adpla!O16+maos!O16+smpg!O16+ksghn!O16+kamla!O16+'cilut-Prnt'!O16+'cilteng-prnt'!O16+'cilse-prnt'!O16+'Kecamatan (25)'!O16</f>
        <v>0</v>
      </c>
      <c r="P16" s="24" t="s">
        <v>70</v>
      </c>
      <c r="Q16" s="38">
        <f>dayeuhluhur!Q16+wnrja!Q16+Majenang!Q16+cmggu!Q16+krpucung!Q16+ptmn!Q16+cipari!Q16+sdrja!Q16+kdreja!Q16+gdmangu!Q16+'bt sari'!Q16+kwanten!Q16+jrlegi!Q16+nswg!Q16+binangun!Q16+krya!Q16+adpla!Q16+maos!Q16+smpg!Q16+ksghn!Q16+kamla!Q16+'cilut-Prnt'!Q16+'cilteng-prnt'!Q16+'cilse-prnt'!Q16+'Kecamatan (25)'!Q16</f>
        <v>0</v>
      </c>
      <c r="R16" s="38">
        <f>dayeuhluhur!R16+wnrja!R16+Majenang!R16+cmggu!R16+krpucung!R16+ptmn!R16+cipari!R16+sdrja!R16+kdreja!R16+gdmangu!R16+'bt sari'!R16+kwanten!R16+jrlegi!R16+nswg!R16+binangun!R16+krya!R16+adpla!R16+maos!R16+smpg!R16+ksghn!R16+kamla!R16+'cilut-Prnt'!R16+'cilteng-prnt'!R16+'cilse-prnt'!R16+'Kecamatan (25)'!R16</f>
        <v>0</v>
      </c>
      <c r="S16" s="24"/>
    </row>
    <row r="17" spans="1:31" x14ac:dyDescent="0.35">
      <c r="A17" s="56">
        <v>7</v>
      </c>
      <c r="B17" s="57" t="s">
        <v>30</v>
      </c>
      <c r="C17" s="31">
        <f>dayeuhluhur!C17+wnrja!C17+Majenang!C17+cmggu!C17+krpucung!C17+ptmn!C17+cipari!C17+sdrja!C17+kdreja!C17+gdmangu!C17+'bt sari'!C17+kwanten!C17+jrlegi!C17+nswg!C17+binangun!C17+krya!C17+adpla!C17+maos!C17+smpg!C17+ksghn!C17+kamla!C17+'cilut-Prnt'!C17+'cilteng-prnt'!C17+'cilse-prnt'!C17+'Kecamatan (25)'!C17</f>
        <v>0</v>
      </c>
      <c r="D17" s="31">
        <f>dayeuhluhur!D17+wnrja!D17+Majenang!D17+cmggu!D17+krpucung!D17+ptmn!D17+cipari!D17+sdrja!D17+kdreja!D17+gdmangu!D17+'bt sari'!D17+kwanten!D17+jrlegi!D17+nswg!D17+binangun!D17+krya!D17+adpla!D17+maos!D17+smpg!D17+ksghn!D17+kamla!D17+'cilut-Prnt'!D17+'cilteng-prnt'!D17+'cilse-prnt'!D17+'Kecamatan (25)'!D17</f>
        <v>0</v>
      </c>
      <c r="E17" s="31">
        <f>dayeuhluhur!E17+wnrja!E17+Majenang!E17+cmggu!E17+krpucung!E17+ptmn!E17+cipari!E17+sdrja!E17+kdreja!E17+gdmangu!E17+'bt sari'!E17+kwanten!E17+jrlegi!E17+nswg!E17+binangun!E17+krya!E17+adpla!E17+maos!E17+smpg!E17+ksghn!E17+kamla!E17+'cilut-Prnt'!E17+'cilteng-prnt'!E17+'cilse-prnt'!E17+'Kecamatan (25)'!E17</f>
        <v>0</v>
      </c>
      <c r="F17" s="31">
        <f>dayeuhluhur!F17+wnrja!F17+Majenang!F17+cmggu!F17+krpucung!F17+ptmn!F17+cipari!F17+sdrja!F17+kdreja!F17+gdmangu!F17+'bt sari'!F17+kwanten!F17+jrlegi!F17+nswg!F17+binangun!F17+krya!F17+adpla!F17+maos!F17+smpg!F17+ksghn!F17+kamla!F17+'cilut-Prnt'!F17+'cilteng-prnt'!F17+'cilse-prnt'!F17+'Kecamatan (25)'!F17</f>
        <v>0</v>
      </c>
      <c r="G17" s="31">
        <f t="shared" si="0"/>
        <v>0</v>
      </c>
      <c r="H17" s="31">
        <f>dayeuhluhur!H17+wnrja!H17+Majenang!H17+cmggu!H17+krpucung!H17+ptmn!H17+cipari!H17+sdrja!H17+kdreja!H17+gdmangu!H17+'bt sari'!H17+kwanten!H17+jrlegi!H17+nswg!H17+binangun!H17+krya!H17+adpla!H17+maos!H17+smpg!H17+ksghn!H17+kamla!H17+'cilut-Prnt'!H17+'cilteng-prnt'!H17+'cilse-prnt'!H17+'Kecamatan (25)'!H17</f>
        <v>0</v>
      </c>
      <c r="I17" s="31">
        <f>dayeuhluhur!I17+wnrja!I17+Majenang!I17+cmggu!I17+krpucung!I17+ptmn!I17+cipari!I17+sdrja!I17+kdreja!I17+gdmangu!I17+'bt sari'!I17+kwanten!I17+jrlegi!I17+nswg!I17+binangun!I17+krya!I17+adpla!I17+maos!I17+smpg!I17+ksghn!I17+kamla!I17+'cilut-Prnt'!I17+'cilteng-prnt'!I17+'cilse-prnt'!I17+'Kecamatan (25)'!I17</f>
        <v>0</v>
      </c>
      <c r="J17" s="31">
        <f>dayeuhluhur!J17+wnrja!J17+Majenang!J17+cmggu!J17+krpucung!J17+ptmn!J17+cipari!J17+sdrja!J17+kdreja!J17+gdmangu!J17+'bt sari'!J17+kwanten!J17+jrlegi!J17+nswg!J17+binangun!J17+krya!J17+adpla!J17+maos!J17+smpg!J17+ksghn!J17+kamla!J17+'cilut-Prnt'!J17+'cilteng-prnt'!J17+'cilse-prnt'!J17+'Kecamatan (25)'!J17</f>
        <v>0</v>
      </c>
      <c r="K17" s="31">
        <f>dayeuhluhur!K17+wnrja!K17+Majenang!K17+cmggu!K17+krpucung!K17+ptmn!K17+cipari!K17+sdrja!K17+kdreja!K17+gdmangu!K17+'bt sari'!K17+kwanten!K17+jrlegi!K17+nswg!K17+binangun!K17+krya!K17+adpla!K17+maos!K17+smpg!K17+ksghn!K17+kamla!K17+'cilut-Prnt'!K17+'cilteng-prnt'!K17+'cilse-prnt'!K17+'Kecamatan (25)'!K17</f>
        <v>0</v>
      </c>
      <c r="L17" s="31">
        <f>dayeuhluhur!L17+wnrja!L17+Majenang!L17+cmggu!L17+krpucung!L17+ptmn!L17+cipari!L17+sdrja!L17+kdreja!L17+gdmangu!L17+'bt sari'!L17+kwanten!L17+jrlegi!L17+nswg!L17+binangun!L17+krya!L17+adpla!L17+maos!L17+smpg!L17+ksghn!L17+kamla!L17+'cilut-Prnt'!L17+'cilteng-prnt'!L17+'cilse-prnt'!L17+'Kecamatan (25)'!L17</f>
        <v>0</v>
      </c>
      <c r="M17" s="31"/>
      <c r="N17" s="31">
        <f>dayeuhluhur!N17+wnrja!N17+Majenang!N17+cmggu!N17+krpucung!N17+ptmn!N17+cipari!N17+sdrja!N17+kdreja!N17+gdmangu!N17+'bt sari'!N17+kwanten!N17+jrlegi!N17+nswg!N17+binangun!N17+krya!N17+adpla!N17+maos!N17+smpg!N17+ksghn!N17+kamla!N17+'cilut-Prnt'!N17+'cilteng-prnt'!N17+'cilse-prnt'!N17+'Kecamatan (25)'!N17</f>
        <v>0</v>
      </c>
      <c r="O17" s="31">
        <f>dayeuhluhur!O17+wnrja!O17+Majenang!O17+cmggu!O17+krpucung!O17+ptmn!O17+cipari!O17+sdrja!O17+kdreja!O17+gdmangu!O17+'bt sari'!O17+kwanten!O17+jrlegi!O17+nswg!O17+binangun!O17+krya!O17+adpla!O17+maos!O17+smpg!O17+ksghn!O17+kamla!O17+'cilut-Prnt'!O17+'cilteng-prnt'!O17+'cilse-prnt'!O17+'Kecamatan (25)'!O17</f>
        <v>0</v>
      </c>
      <c r="P17" s="24" t="s">
        <v>71</v>
      </c>
      <c r="Q17" s="38">
        <f>dayeuhluhur!Q17+wnrja!Q17+Majenang!Q17+cmggu!Q17+krpucung!Q17+ptmn!Q17+cipari!Q17+sdrja!Q17+kdreja!Q17+gdmangu!Q17+'bt sari'!Q17+kwanten!Q17+jrlegi!Q17+nswg!Q17+binangun!Q17+krya!Q17+adpla!Q17+maos!Q17+smpg!Q17+ksghn!Q17+kamla!Q17+'cilut-Prnt'!Q17+'cilteng-prnt'!Q17+'cilse-prnt'!Q17+'Kecamatan (25)'!Q17</f>
        <v>0</v>
      </c>
      <c r="R17" s="38">
        <f>dayeuhluhur!R17+wnrja!R17+Majenang!R17+cmggu!R17+krpucung!R17+ptmn!R17+cipari!R17+sdrja!R17+kdreja!R17+gdmangu!R17+'bt sari'!R17+kwanten!R17+jrlegi!R17+nswg!R17+binangun!R17+krya!R17+adpla!R17+maos!R17+smpg!R17+ksghn!R17+kamla!R17+'cilut-Prnt'!R17+'cilteng-prnt'!R17+'cilse-prnt'!R17+'Kecamatan (25)'!R17</f>
        <v>0</v>
      </c>
      <c r="S17" s="24"/>
    </row>
    <row r="18" spans="1:31" x14ac:dyDescent="0.35">
      <c r="A18" s="56">
        <v>8</v>
      </c>
      <c r="B18" s="57" t="s">
        <v>31</v>
      </c>
      <c r="C18" s="31">
        <f>dayeuhluhur!C18+wnrja!C18+Majenang!C18+cmggu!C18+krpucung!C18+ptmn!C18+cipari!C18+sdrja!C18+kdreja!C18+gdmangu!C18+'bt sari'!C18+kwanten!C18+jrlegi!C18+nswg!C18+binangun!C18+krya!C18+adpla!C18+maos!C18+smpg!C18+ksghn!C18+kamla!C18+'cilut-Prnt'!C18+'cilteng-prnt'!C18+'cilse-prnt'!C18+'Kecamatan (25)'!C18</f>
        <v>0</v>
      </c>
      <c r="D18" s="31">
        <f>dayeuhluhur!D18+wnrja!D18+Majenang!D18+cmggu!D18+krpucung!D18+ptmn!D18+cipari!D18+sdrja!D18+kdreja!D18+gdmangu!D18+'bt sari'!D18+kwanten!D18+jrlegi!D18+nswg!D18+binangun!D18+krya!D18+adpla!D18+maos!D18+smpg!D18+ksghn!D18+kamla!D18+'cilut-Prnt'!D18+'cilteng-prnt'!D18+'cilse-prnt'!D18+'Kecamatan (25)'!D18</f>
        <v>0</v>
      </c>
      <c r="E18" s="31">
        <f>dayeuhluhur!E18+wnrja!E18+Majenang!E18+cmggu!E18+krpucung!E18+ptmn!E18+cipari!E18+sdrja!E18+kdreja!E18+gdmangu!E18+'bt sari'!E18+kwanten!E18+jrlegi!E18+nswg!E18+binangun!E18+krya!E18+adpla!E18+maos!E18+smpg!E18+ksghn!E18+kamla!E18+'cilut-Prnt'!E18+'cilteng-prnt'!E18+'cilse-prnt'!E18+'Kecamatan (25)'!E18</f>
        <v>0</v>
      </c>
      <c r="F18" s="31">
        <f>dayeuhluhur!F18+wnrja!F18+Majenang!F18+cmggu!F18+krpucung!F18+ptmn!F18+cipari!F18+sdrja!F18+kdreja!F18+gdmangu!F18+'bt sari'!F18+kwanten!F18+jrlegi!F18+nswg!F18+binangun!F18+krya!F18+adpla!F18+maos!F18+smpg!F18+ksghn!F18+kamla!F18+'cilut-Prnt'!F18+'cilteng-prnt'!F18+'cilse-prnt'!F18+'Kecamatan (25)'!F18</f>
        <v>0</v>
      </c>
      <c r="G18" s="31">
        <f t="shared" si="0"/>
        <v>0</v>
      </c>
      <c r="H18" s="31">
        <f>dayeuhluhur!H18+wnrja!H18+Majenang!H18+cmggu!H18+krpucung!H18+ptmn!H18+cipari!H18+sdrja!H18+kdreja!H18+gdmangu!H18+'bt sari'!H18+kwanten!H18+jrlegi!H18+nswg!H18+binangun!H18+krya!H18+adpla!H18+maos!H18+smpg!H18+ksghn!H18+kamla!H18+'cilut-Prnt'!H18+'cilteng-prnt'!H18+'cilse-prnt'!H18+'Kecamatan (25)'!H18</f>
        <v>0</v>
      </c>
      <c r="I18" s="31">
        <f>dayeuhluhur!I18+wnrja!I18+Majenang!I18+cmggu!I18+krpucung!I18+ptmn!I18+cipari!I18+sdrja!I18+kdreja!I18+gdmangu!I18+'bt sari'!I18+kwanten!I18+jrlegi!I18+nswg!I18+binangun!I18+krya!I18+adpla!I18+maos!I18+smpg!I18+ksghn!I18+kamla!I18+'cilut-Prnt'!I18+'cilteng-prnt'!I18+'cilse-prnt'!I18+'Kecamatan (25)'!I18</f>
        <v>0</v>
      </c>
      <c r="J18" s="31">
        <f>dayeuhluhur!J18+wnrja!J18+Majenang!J18+cmggu!J18+krpucung!J18+ptmn!J18+cipari!J18+sdrja!J18+kdreja!J18+gdmangu!J18+'bt sari'!J18+kwanten!J18+jrlegi!J18+nswg!J18+binangun!J18+krya!J18+adpla!J18+maos!J18+smpg!J18+ksghn!J18+kamla!J18+'cilut-Prnt'!J18+'cilteng-prnt'!J18+'cilse-prnt'!J18+'Kecamatan (25)'!J18</f>
        <v>0</v>
      </c>
      <c r="K18" s="31">
        <f>dayeuhluhur!K18+wnrja!K18+Majenang!K18+cmggu!K18+krpucung!K18+ptmn!K18+cipari!K18+sdrja!K18+kdreja!K18+gdmangu!K18+'bt sari'!K18+kwanten!K18+jrlegi!K18+nswg!K18+binangun!K18+krya!K18+adpla!K18+maos!K18+smpg!K18+ksghn!K18+kamla!K18+'cilut-Prnt'!K18+'cilteng-prnt'!K18+'cilse-prnt'!K18+'Kecamatan (25)'!K18</f>
        <v>0</v>
      </c>
      <c r="L18" s="31">
        <f>dayeuhluhur!L18+wnrja!L18+Majenang!L18+cmggu!L18+krpucung!L18+ptmn!L18+cipari!L18+sdrja!L18+kdreja!L18+gdmangu!L18+'bt sari'!L18+kwanten!L18+jrlegi!L18+nswg!L18+binangun!L18+krya!L18+adpla!L18+maos!L18+smpg!L18+ksghn!L18+kamla!L18+'cilut-Prnt'!L18+'cilteng-prnt'!L18+'cilse-prnt'!L18+'Kecamatan (25)'!L18</f>
        <v>0</v>
      </c>
      <c r="M18" s="31"/>
      <c r="N18" s="31">
        <f>dayeuhluhur!N18+wnrja!N18+Majenang!N18+cmggu!N18+krpucung!N18+ptmn!N18+cipari!N18+sdrja!N18+kdreja!N18+gdmangu!N18+'bt sari'!N18+kwanten!N18+jrlegi!N18+nswg!N18+binangun!N18+krya!N18+adpla!N18+maos!N18+smpg!N18+ksghn!N18+kamla!N18+'cilut-Prnt'!N18+'cilteng-prnt'!N18+'cilse-prnt'!N18+'Kecamatan (25)'!N18</f>
        <v>0</v>
      </c>
      <c r="O18" s="31">
        <f>dayeuhluhur!O18+wnrja!O18+Majenang!O18+cmggu!O18+krpucung!O18+ptmn!O18+cipari!O18+sdrja!O18+kdreja!O18+gdmangu!O18+'bt sari'!O18+kwanten!O18+jrlegi!O18+nswg!O18+binangun!O18+krya!O18+adpla!O18+maos!O18+smpg!O18+ksghn!O18+kamla!O18+'cilut-Prnt'!O18+'cilteng-prnt'!O18+'cilse-prnt'!O18+'Kecamatan (25)'!O18</f>
        <v>0</v>
      </c>
      <c r="P18" s="24" t="s">
        <v>72</v>
      </c>
      <c r="Q18" s="38">
        <f>dayeuhluhur!Q18+wnrja!Q18+Majenang!Q18+cmggu!Q18+krpucung!Q18+ptmn!Q18+cipari!Q18+sdrja!Q18+kdreja!Q18+gdmangu!Q18+'bt sari'!Q18+kwanten!Q18+jrlegi!Q18+nswg!Q18+binangun!Q18+krya!Q18+adpla!Q18+maos!Q18+smpg!Q18+ksghn!Q18+kamla!Q18+'cilut-Prnt'!Q18+'cilteng-prnt'!Q18+'cilse-prnt'!Q18+'Kecamatan (25)'!Q18</f>
        <v>0</v>
      </c>
      <c r="R18" s="38">
        <f>dayeuhluhur!R18+wnrja!R18+Majenang!R18+cmggu!R18+krpucung!R18+ptmn!R18+cipari!R18+sdrja!R18+kdreja!R18+gdmangu!R18+'bt sari'!R18+kwanten!R18+jrlegi!R18+nswg!R18+binangun!R18+krya!R18+adpla!R18+maos!R18+smpg!R18+ksghn!R18+kamla!R18+'cilut-Prnt'!R18+'cilteng-prnt'!R18+'cilse-prnt'!R18+'Kecamatan (25)'!R18</f>
        <v>0</v>
      </c>
      <c r="S18" s="24"/>
    </row>
    <row r="19" spans="1:31" x14ac:dyDescent="0.35">
      <c r="A19" s="56">
        <v>9</v>
      </c>
      <c r="B19" s="57" t="s">
        <v>32</v>
      </c>
      <c r="C19" s="31">
        <f>dayeuhluhur!C19+wnrja!C19+Majenang!C19+cmggu!C19+krpucung!C19+ptmn!C19+cipari!C19+sdrja!C19+kdreja!C19+gdmangu!C19+'bt sari'!C19+kwanten!C19+jrlegi!C19+nswg!C19+binangun!C19+krya!C19+adpla!C19+maos!C19+smpg!C19+ksghn!C19+kamla!C19+'cilut-Prnt'!C19+'cilteng-prnt'!C19+'cilse-prnt'!C19+'Kecamatan (25)'!C19</f>
        <v>0</v>
      </c>
      <c r="D19" s="31">
        <f>dayeuhluhur!D19+wnrja!D19+Majenang!D19+cmggu!D19+krpucung!D19+ptmn!D19+cipari!D19+sdrja!D19+kdreja!D19+gdmangu!D19+'bt sari'!D19+kwanten!D19+jrlegi!D19+nswg!D19+binangun!D19+krya!D19+adpla!D19+maos!D19+smpg!D19+ksghn!D19+kamla!D19+'cilut-Prnt'!D19+'cilteng-prnt'!D19+'cilse-prnt'!D19+'Kecamatan (25)'!D19</f>
        <v>0</v>
      </c>
      <c r="E19" s="31">
        <f>dayeuhluhur!E19+wnrja!E19+Majenang!E19+cmggu!E19+krpucung!E19+ptmn!E19+cipari!E19+sdrja!E19+kdreja!E19+gdmangu!E19+'bt sari'!E19+kwanten!E19+jrlegi!E19+nswg!E19+binangun!E19+krya!E19+adpla!E19+maos!E19+smpg!E19+ksghn!E19+kamla!E19+'cilut-Prnt'!E19+'cilteng-prnt'!E19+'cilse-prnt'!E19+'Kecamatan (25)'!E19</f>
        <v>0</v>
      </c>
      <c r="F19" s="31">
        <f>dayeuhluhur!F19+wnrja!F19+Majenang!F19+cmggu!F19+krpucung!F19+ptmn!F19+cipari!F19+sdrja!F19+kdreja!F19+gdmangu!F19+'bt sari'!F19+kwanten!F19+jrlegi!F19+nswg!F19+binangun!F19+krya!F19+adpla!F19+maos!F19+smpg!F19+ksghn!F19+kamla!F19+'cilut-Prnt'!F19+'cilteng-prnt'!F19+'cilse-prnt'!F19+'Kecamatan (25)'!F19</f>
        <v>0</v>
      </c>
      <c r="G19" s="31">
        <f t="shared" si="0"/>
        <v>0</v>
      </c>
      <c r="H19" s="31">
        <f>dayeuhluhur!H19+wnrja!H19+Majenang!H19+cmggu!H19+krpucung!H19+ptmn!H19+cipari!H19+sdrja!H19+kdreja!H19+gdmangu!H19+'bt sari'!H19+kwanten!H19+jrlegi!H19+nswg!H19+binangun!H19+krya!H19+adpla!H19+maos!H19+smpg!H19+ksghn!H19+kamla!H19+'cilut-Prnt'!H19+'cilteng-prnt'!H19+'cilse-prnt'!H19+'Kecamatan (25)'!H19</f>
        <v>0</v>
      </c>
      <c r="I19" s="31">
        <f>dayeuhluhur!I19+wnrja!I19+Majenang!I19+cmggu!I19+krpucung!I19+ptmn!I19+cipari!I19+sdrja!I19+kdreja!I19+gdmangu!I19+'bt sari'!I19+kwanten!I19+jrlegi!I19+nswg!I19+binangun!I19+krya!I19+adpla!I19+maos!I19+smpg!I19+ksghn!I19+kamla!I19+'cilut-Prnt'!I19+'cilteng-prnt'!I19+'cilse-prnt'!I19+'Kecamatan (25)'!I19</f>
        <v>0</v>
      </c>
      <c r="J19" s="31">
        <f>dayeuhluhur!J19+wnrja!J19+Majenang!J19+cmggu!J19+krpucung!J19+ptmn!J19+cipari!J19+sdrja!J19+kdreja!J19+gdmangu!J19+'bt sari'!J19+kwanten!J19+jrlegi!J19+nswg!J19+binangun!J19+krya!J19+adpla!J19+maos!J19+smpg!J19+ksghn!J19+kamla!J19+'cilut-Prnt'!J19+'cilteng-prnt'!J19+'cilse-prnt'!J19+'Kecamatan (25)'!J19</f>
        <v>0</v>
      </c>
      <c r="K19" s="31">
        <f>dayeuhluhur!K19+wnrja!K19+Majenang!K19+cmggu!K19+krpucung!K19+ptmn!K19+cipari!K19+sdrja!K19+kdreja!K19+gdmangu!K19+'bt sari'!K19+kwanten!K19+jrlegi!K19+nswg!K19+binangun!K19+krya!K19+adpla!K19+maos!K19+smpg!K19+ksghn!K19+kamla!K19+'cilut-Prnt'!K19+'cilteng-prnt'!K19+'cilse-prnt'!K19+'Kecamatan (25)'!K19</f>
        <v>0</v>
      </c>
      <c r="L19" s="31">
        <f>dayeuhluhur!L19+wnrja!L19+Majenang!L19+cmggu!L19+krpucung!L19+ptmn!L19+cipari!L19+sdrja!L19+kdreja!L19+gdmangu!L19+'bt sari'!L19+kwanten!L19+jrlegi!L19+nswg!L19+binangun!L19+krya!L19+adpla!L19+maos!L19+smpg!L19+ksghn!L19+kamla!L19+'cilut-Prnt'!L19+'cilteng-prnt'!L19+'cilse-prnt'!L19+'Kecamatan (25)'!L19</f>
        <v>0</v>
      </c>
      <c r="M19" s="31" t="s">
        <v>94</v>
      </c>
      <c r="N19" s="31">
        <f>dayeuhluhur!N19+wnrja!N19+Majenang!N19+cmggu!N19+krpucung!N19+ptmn!N19+cipari!N19+sdrja!N19+kdreja!N19+gdmangu!N19+'bt sari'!N19+kwanten!N19+jrlegi!N19+nswg!N19+binangun!N19+krya!N19+adpla!N19+maos!N19+smpg!N19+ksghn!N19+kamla!N19+'cilut-Prnt'!N19+'cilteng-prnt'!N19+'cilse-prnt'!N19+'Kecamatan (25)'!N19</f>
        <v>0</v>
      </c>
      <c r="O19" s="31">
        <f>dayeuhluhur!O19+wnrja!O19+Majenang!O19+cmggu!O19+krpucung!O19+ptmn!O19+cipari!O19+sdrja!O19+kdreja!O19+gdmangu!O19+'bt sari'!O19+kwanten!O19+jrlegi!O19+nswg!O19+binangun!O19+krya!O19+adpla!O19+maos!O19+smpg!O19+ksghn!O19+kamla!O19+'cilut-Prnt'!O19+'cilteng-prnt'!O19+'cilse-prnt'!O19+'Kecamatan (25)'!O19</f>
        <v>0</v>
      </c>
      <c r="P19" s="24" t="s">
        <v>72</v>
      </c>
      <c r="Q19" s="38" t="s">
        <v>94</v>
      </c>
      <c r="R19" s="38">
        <f>dayeuhluhur!R19+wnrja!R19+Majenang!R19+cmggu!R19+krpucung!R19+ptmn!R19+cipari!R19+sdrja!R19+kdreja!R19+gdmangu!R19+'bt sari'!R19+kwanten!R19+jrlegi!R19+nswg!R19+binangun!R19+krya!R19+adpla!R19+maos!R19+smpg!R19+ksghn!R19+kamla!R19+'cilut-Prnt'!R19+'cilteng-prnt'!R19+'cilse-prnt'!R19+'Kecamatan (25)'!R19</f>
        <v>0</v>
      </c>
      <c r="S19" s="24"/>
    </row>
    <row r="20" spans="1:31" x14ac:dyDescent="0.35">
      <c r="A20" s="56">
        <v>10</v>
      </c>
      <c r="B20" s="57" t="s">
        <v>33</v>
      </c>
      <c r="C20" s="31">
        <f>dayeuhluhur!C20+wnrja!C20+Majenang!C20+cmggu!C20+krpucung!C20+ptmn!C20+cipari!C20+sdrja!C20+kdreja!C20+gdmangu!C20+'bt sari'!C20+kwanten!C20+jrlegi!C20+nswg!C20+binangun!C20+krya!C20+adpla!C20+maos!C20+smpg!C20+ksghn!C20+kamla!C20+'cilut-Prnt'!C20+'cilteng-prnt'!C20+'cilse-prnt'!C20+'Kecamatan (25)'!C20</f>
        <v>215.34</v>
      </c>
      <c r="D20" s="31">
        <f>dayeuhluhur!D20+wnrja!D20+Majenang!D20+cmggu!D20+krpucung!D20+ptmn!D20+cipari!D20+sdrja!D20+kdreja!D20+gdmangu!D20+'bt sari'!D20+kwanten!D20+jrlegi!D20+nswg!D20+binangun!D20+krya!D20+adpla!D20+maos!D20+smpg!D20+ksghn!D20+kamla!D20+'cilut-Prnt'!D20+'cilteng-prnt'!D20+'cilse-prnt'!D20+'Kecamatan (25)'!D20</f>
        <v>1</v>
      </c>
      <c r="E20" s="31">
        <f>dayeuhluhur!E20+wnrja!E20+Majenang!E20+cmggu!E20+krpucung!E20+ptmn!E20+cipari!E20+sdrja!E20+kdreja!E20+gdmangu!E20+'bt sari'!E20+kwanten!E20+jrlegi!E20+nswg!E20+binangun!E20+krya!E20+adpla!E20+maos!E20+smpg!E20+ksghn!E20+kamla!E20+'cilut-Prnt'!E20+'cilteng-prnt'!E20+'cilse-prnt'!E20+'Kecamatan (25)'!E20</f>
        <v>34.11</v>
      </c>
      <c r="F20" s="31">
        <f>dayeuhluhur!F20+wnrja!F20+Majenang!F20+cmggu!F20+krpucung!F20+ptmn!F20+cipari!F20+sdrja!F20+kdreja!F20+gdmangu!F20+'bt sari'!F20+kwanten!F20+jrlegi!F20+nswg!F20+binangun!F20+krya!F20+adpla!F20+maos!F20+smpg!F20+ksghn!F20+kamla!F20+'cilut-Prnt'!F20+'cilteng-prnt'!F20+'cilse-prnt'!F20+'Kecamatan (25)'!F20</f>
        <v>6.6</v>
      </c>
      <c r="G20" s="31">
        <f t="shared" si="0"/>
        <v>242.85</v>
      </c>
      <c r="H20" s="31">
        <f>dayeuhluhur!H20+wnrja!H20+Majenang!H20+cmggu!H20+krpucung!H20+ptmn!H20+cipari!H20+sdrja!H20+kdreja!H20+gdmangu!H20+'bt sari'!H20+kwanten!H20+jrlegi!H20+nswg!H20+binangun!H20+krya!H20+adpla!H20+maos!H20+smpg!H20+ksghn!H20+kamla!H20+'cilut-Prnt'!H20+'cilteng-prnt'!H20+'cilse-prnt'!H20+'Kecamatan (25)'!H20</f>
        <v>150.94</v>
      </c>
      <c r="I20" s="31">
        <f>dayeuhluhur!I20+wnrja!I20+Majenang!I20+cmggu!I20+krpucung!I20+ptmn!I20+cipari!I20+sdrja!I20+kdreja!I20+gdmangu!I20+'bt sari'!I20+kwanten!I20+jrlegi!I20+nswg!I20+binangun!I20+krya!I20+adpla!I20+maos!I20+smpg!I20+ksghn!I20+kamla!I20+'cilut-Prnt'!I20+'cilteng-prnt'!I20+'cilse-prnt'!I20+'Kecamatan (25)'!I20</f>
        <v>79.400000000000006</v>
      </c>
      <c r="J20" s="31">
        <f>dayeuhluhur!J20+wnrja!J20+Majenang!J20+cmggu!J20+krpucung!J20+ptmn!J20+cipari!J20+sdrja!J20+kdreja!J20+gdmangu!J20+'bt sari'!J20+kwanten!J20+jrlegi!J20+nswg!J20+binangun!J20+krya!J20+adpla!J20+maos!J20+smpg!J20+ksghn!J20+kamla!J20+'cilut-Prnt'!J20+'cilteng-prnt'!J20+'cilse-prnt'!J20+'Kecamatan (25)'!J20</f>
        <v>12.51</v>
      </c>
      <c r="K20" s="31">
        <f>dayeuhluhur!K20+wnrja!K20+Majenang!K20+cmggu!K20+krpucung!K20+ptmn!K20+cipari!K20+sdrja!K20+kdreja!K20+gdmangu!K20+'bt sari'!K20+kwanten!K20+jrlegi!K20+nswg!K20+binangun!K20+krya!K20+adpla!K20+maos!K20+smpg!K20+ksghn!K20+kamla!K20+'cilut-Prnt'!K20+'cilteng-prnt'!K20+'cilse-prnt'!K20+'Kecamatan (25)'!K20</f>
        <v>242.85000000000002</v>
      </c>
      <c r="L20" s="31">
        <f>dayeuhluhur!L20+wnrja!L20+Majenang!L20+cmggu!L20+krpucung!L20+ptmn!L20+cipari!L20+sdrja!L20+kdreja!L20+gdmangu!L20+'bt sari'!L20+kwanten!L20+jrlegi!L20+nswg!L20+binangun!L20+krya!L20+adpla!L20+maos!L20+smpg!L20+ksghn!L20+kamla!L20+'cilut-Prnt'!L20+'cilteng-prnt'!L20+'cilse-prnt'!L20+'Kecamatan (25)'!L20</f>
        <v>50594.240000000005</v>
      </c>
      <c r="M20" s="31">
        <v>703.77</v>
      </c>
      <c r="N20" s="31">
        <f>dayeuhluhur!N20+wnrja!N20+Majenang!N20+cmggu!N20+krpucung!N20+ptmn!N20+cipari!N20+sdrja!N20+kdreja!N20+gdmangu!N20+'bt sari'!N20+kwanten!N20+jrlegi!N20+nswg!N20+binangun!N20+krya!N20+adpla!N20+maos!N20+smpg!N20+ksghn!N20+kamla!N20+'cilut-Prnt'!N20+'cilteng-prnt'!N20+'cilse-prnt'!N20+'Kecamatan (25)'!N20</f>
        <v>64879.52949999999</v>
      </c>
      <c r="O20" s="31">
        <f t="shared" ref="O20" si="2">N20/I20</f>
        <v>817.12253778337515</v>
      </c>
      <c r="P20" s="24" t="s">
        <v>72</v>
      </c>
      <c r="Q20" s="38">
        <f>dayeuhluhur!Q20+wnrja!Q20+Majenang!Q20+cmggu!Q20+krpucung!Q20+ptmn!Q20+cipari!Q20+sdrja!Q20+kdreja!Q20+gdmangu!Q20+'bt sari'!Q20+kwanten!Q20+jrlegi!Q20+nswg!Q20+binangun!Q20+krya!Q20+adpla!Q20+maos!Q20+smpg!Q20+ksghn!Q20+kamla!Q20+'cilut-Prnt'!Q20+'cilteng-prnt'!Q20+'cilse-prnt'!Q20+'Kecamatan (25)'!Q20</f>
        <v>385</v>
      </c>
      <c r="R20" s="38">
        <f>dayeuhluhur!R20+wnrja!R20+Majenang!R20+cmggu!R20+krpucung!R20+ptmn!R20+cipari!R20+sdrja!R20+kdreja!R20+gdmangu!R20+'bt sari'!R20+kwanten!R20+jrlegi!R20+nswg!R20+binangun!R20+krya!R20+adpla!R20+maos!R20+smpg!R20+ksghn!R20+kamla!R20+'cilut-Prnt'!R20+'cilteng-prnt'!R20+'cilse-prnt'!R20+'Kecamatan (25)'!R20</f>
        <v>0</v>
      </c>
      <c r="S20" s="24"/>
      <c r="V20" s="60"/>
      <c r="W20" s="59"/>
    </row>
    <row r="21" spans="1:31" x14ac:dyDescent="0.35">
      <c r="A21" s="56">
        <v>11</v>
      </c>
      <c r="B21" s="24" t="s">
        <v>96</v>
      </c>
      <c r="C21" s="31">
        <f>dayeuhluhur!C21+wnrja!C21+Majenang!C21+cmggu!C21+krpucung!C21+ptmn!C21+cipari!C21+sdrja!C21+kdreja!C21+gdmangu!C21+'bt sari'!C21+kwanten!C21+jrlegi!C21+nswg!C21+binangun!C21+krya!C21+adpla!C21+maos!C21+smpg!C21+ksghn!C21+kamla!C21+'cilut-Prnt'!C21+'cilteng-prnt'!C21+'cilse-prnt'!C21+'Kecamatan (25)'!C21</f>
        <v>0</v>
      </c>
      <c r="D21" s="31">
        <f>dayeuhluhur!D21+wnrja!D21+Majenang!D21+cmggu!D21+krpucung!D21+ptmn!D21+cipari!D21+sdrja!D21+kdreja!D21+gdmangu!D21+'bt sari'!D21+kwanten!D21+jrlegi!D21+nswg!D21+binangun!D21+krya!D21+adpla!D21+maos!D21+smpg!D21+ksghn!D21+kamla!D21+'cilut-Prnt'!D21+'cilteng-prnt'!D21+'cilse-prnt'!D21+'Kecamatan (25)'!D21</f>
        <v>0</v>
      </c>
      <c r="E21" s="31">
        <f>dayeuhluhur!E21+wnrja!E21+Majenang!E21+cmggu!E21+krpucung!E21+ptmn!E21+cipari!E21+sdrja!E21+kdreja!E21+gdmangu!E21+'bt sari'!E21+kwanten!E21+jrlegi!E21+nswg!E21+binangun!E21+krya!E21+adpla!E21+maos!E21+smpg!E21+ksghn!E21+kamla!E21+'cilut-Prnt'!E21+'cilteng-prnt'!E21+'cilse-prnt'!E21+'Kecamatan (25)'!E21</f>
        <v>0</v>
      </c>
      <c r="F21" s="31">
        <f>dayeuhluhur!F21+wnrja!F21+Majenang!F21+cmggu!F21+krpucung!F21+ptmn!F21+cipari!F21+sdrja!F21+kdreja!F21+gdmangu!F21+'bt sari'!F21+kwanten!F21+jrlegi!F21+nswg!F21+binangun!F21+krya!F21+adpla!F21+maos!F21+smpg!F21+ksghn!F21+kamla!F21+'cilut-Prnt'!F21+'cilteng-prnt'!F21+'cilse-prnt'!F21+'Kecamatan (25)'!F21</f>
        <v>0</v>
      </c>
      <c r="G21" s="31">
        <f t="shared" ref="G21" si="3">C21+E21-F21</f>
        <v>0</v>
      </c>
      <c r="H21" s="31">
        <f>dayeuhluhur!H21+wnrja!H21+Majenang!H21+cmggu!H21+krpucung!H21+ptmn!H21+cipari!H21+sdrja!H21+kdreja!H21+gdmangu!H21+'bt sari'!H21+kwanten!H21+jrlegi!H21+nswg!H21+binangun!H21+krya!H21+adpla!H21+maos!H21+smpg!H21+ksghn!H21+kamla!H21+'cilut-Prnt'!H21+'cilteng-prnt'!H21+'cilse-prnt'!H21+'Kecamatan (25)'!H21</f>
        <v>0</v>
      </c>
      <c r="I21" s="31">
        <f>dayeuhluhur!I21+wnrja!I21+Majenang!I21+cmggu!I21+krpucung!I21+ptmn!I21+cipari!I21+sdrja!I21+kdreja!I21+gdmangu!I21+'bt sari'!I21+kwanten!I21+jrlegi!I21+nswg!I21+binangun!I21+krya!I21+adpla!I21+maos!I21+smpg!I21+ksghn!I21+kamla!I21+'cilut-Prnt'!I21+'cilteng-prnt'!I21+'cilse-prnt'!I21+'Kecamatan (25)'!I21</f>
        <v>0</v>
      </c>
      <c r="J21" s="31">
        <f>dayeuhluhur!J21+wnrja!J21+Majenang!J21+cmggu!J21+krpucung!J21+ptmn!J21+cipari!J21+sdrja!J21+kdreja!J21+gdmangu!J21+'bt sari'!J21+kwanten!J21+jrlegi!J21+nswg!J21+binangun!J21+krya!J21+adpla!J21+maos!J21+smpg!J21+ksghn!J21+kamla!J21+'cilut-Prnt'!J21+'cilteng-prnt'!J21+'cilse-prnt'!J21+'Kecamatan (25)'!J21</f>
        <v>0</v>
      </c>
      <c r="K21" s="31">
        <f>dayeuhluhur!K21+wnrja!K21+Majenang!K21+cmggu!K21+krpucung!K21+ptmn!K21+cipari!K21+sdrja!K21+kdreja!K21+gdmangu!K21+'bt sari'!K21+kwanten!K21+jrlegi!K21+nswg!K21+binangun!K21+krya!K21+adpla!K21+maos!K21+smpg!K21+ksghn!K21+kamla!K21+'cilut-Prnt'!K21+'cilteng-prnt'!K21+'cilse-prnt'!K21+'Kecamatan (25)'!K21</f>
        <v>0</v>
      </c>
      <c r="L21" s="31">
        <f>dayeuhluhur!L21+wnrja!L21+Majenang!L21+cmggu!L21+krpucung!L21+ptmn!L21+cipari!L21+sdrja!L21+kdreja!L21+gdmangu!L21+'bt sari'!L21+kwanten!L21+jrlegi!L21+nswg!L21+binangun!L21+krya!L21+adpla!L21+maos!L21+smpg!L21+ksghn!L21+kamla!L21+'cilut-Prnt'!L21+'cilteng-prnt'!L21+'cilse-prnt'!L21+'Kecamatan (25)'!L21</f>
        <v>0</v>
      </c>
      <c r="M21" s="31"/>
      <c r="N21" s="31">
        <f>dayeuhluhur!N21+wnrja!N21+Majenang!N21+cmggu!N21+krpucung!N21+ptmn!N21+cipari!N21+sdrja!N21+kdreja!N21+gdmangu!N21+'bt sari'!N21+kwanten!N21+jrlegi!N21+nswg!N21+binangun!N21+krya!N21+adpla!N21+maos!N21+smpg!N21+ksghn!N21+kamla!N21+'cilut-Prnt'!N21+'cilteng-prnt'!N21+'cilse-prnt'!N21+'Kecamatan (25)'!N21</f>
        <v>0</v>
      </c>
      <c r="O21" s="31">
        <f>dayeuhluhur!O21+wnrja!O21+Majenang!O21+cmggu!O21+krpucung!O21+ptmn!O21+cipari!O21+sdrja!O21+kdreja!O21+gdmangu!O21+'bt sari'!O21+kwanten!O21+jrlegi!O21+nswg!O21+binangun!O21+krya!O21+adpla!O21+maos!O21+smpg!O21+ksghn!O21+kamla!O21+'cilut-Prnt'!O21+'cilteng-prnt'!O21+'cilse-prnt'!O21+'Kecamatan (25)'!O21</f>
        <v>0</v>
      </c>
      <c r="P21" s="24"/>
      <c r="Q21" s="24"/>
      <c r="R21" s="24"/>
      <c r="S21" s="24"/>
      <c r="W21" s="60"/>
    </row>
    <row r="22" spans="1:31" x14ac:dyDescent="0.35">
      <c r="A22" s="56">
        <v>12</v>
      </c>
      <c r="B22" s="57" t="s">
        <v>34</v>
      </c>
      <c r="C22" s="31">
        <f>dayeuhluhur!C22+wnrja!C22+Majenang!C22+cmggu!C22+krpucung!C22+ptmn!C22+cipari!C22+sdrja!C22+kdreja!C22+gdmangu!C22+'bt sari'!C22+kwanten!C22+jrlegi!C22+nswg!C22+binangun!C22+krya!C22+adpla!C22+maos!C22+smpg!C22+ksghn!C22+kamla!C22+'cilut-Prnt'!C22+'cilteng-prnt'!C22+'cilse-prnt'!C22+'Kecamatan (25)'!C21</f>
        <v>4609.68</v>
      </c>
      <c r="D22" s="31">
        <f>dayeuhluhur!D22+wnrja!D22+Majenang!D22+cmggu!D22+krpucung!D22+ptmn!D22+cipari!D22+sdrja!D22+kdreja!D22+gdmangu!D22+'bt sari'!D22+kwanten!D22+jrlegi!D22+nswg!D22+binangun!D22+krya!D22+adpla!D22+maos!D22+smpg!D22+ksghn!D22+kamla!D22+'cilut-Prnt'!D22+'cilteng-prnt'!D22+'cilse-prnt'!D22+'Kecamatan (25)'!D21</f>
        <v>205</v>
      </c>
      <c r="E22" s="31">
        <f>dayeuhluhur!E22+wnrja!E22+Majenang!E22+cmggu!E22+krpucung!E22+ptmn!E22+cipari!E22+sdrja!E22+kdreja!E22+gdmangu!E22+'bt sari'!E22+kwanten!E22+jrlegi!E22+nswg!E22+binangun!E22+krya!E22+adpla!E22+maos!E22+smpg!E22+ksghn!E22+kamla!E22+'cilut-Prnt'!E22+'cilteng-prnt'!E22+'cilse-prnt'!E22+'Kecamatan (25)'!E21</f>
        <v>228.86</v>
      </c>
      <c r="F22" s="31">
        <f>dayeuhluhur!F22+wnrja!F22+Majenang!F22+cmggu!F22+krpucung!F22+ptmn!F22+cipari!F22+sdrja!F22+kdreja!F22+gdmangu!F22+'bt sari'!F22+kwanten!F22+jrlegi!F22+nswg!F22+binangun!F22+krya!F22+adpla!F22+maos!F22+smpg!F22+ksghn!F22+kamla!F22+'cilut-Prnt'!F22+'cilteng-prnt'!F22+'cilse-prnt'!F22+'Kecamatan (25)'!F21</f>
        <v>7.95</v>
      </c>
      <c r="G22" s="31">
        <f t="shared" ref="G22:G37" si="4">C22+E22-F22</f>
        <v>4830.59</v>
      </c>
      <c r="H22" s="31">
        <f>dayeuhluhur!H22+wnrja!H22+Majenang!H22+cmggu!H22+krpucung!H22+ptmn!H22+cipari!H22+sdrja!H22+kdreja!H22+gdmangu!H22+'bt sari'!H22+kwanten!H22+jrlegi!H22+nswg!H22+binangun!H22+krya!H22+adpla!H22+maos!H22+smpg!H22+ksghn!H22+kamla!H22+'cilut-Prnt'!H22+'cilteng-prnt'!H22+'cilse-prnt'!H22+'Kecamatan (25)'!H21</f>
        <v>1938.41</v>
      </c>
      <c r="I22" s="31">
        <f>dayeuhluhur!I22+wnrja!I22+Majenang!I22+cmggu!I22+krpucung!I22+ptmn!I22+cipari!I22+sdrja!I22+kdreja!I22+gdmangu!I22+'bt sari'!I22+kwanten!I22+jrlegi!I22+nswg!I22+binangun!I22+krya!I22+adpla!I22+maos!I22+smpg!I22+ksghn!I22+kamla!I22+'cilut-Prnt'!I22+'cilteng-prnt'!I22+'cilse-prnt'!I22+'Kecamatan (25)'!I21</f>
        <v>2456.6200000000003</v>
      </c>
      <c r="J22" s="31">
        <f>dayeuhluhur!J22+wnrja!J22+Majenang!J22+cmggu!J22+krpucung!J22+ptmn!J22+cipari!J22+sdrja!J22+kdreja!J22+gdmangu!J22+'bt sari'!J22+kwanten!J22+jrlegi!J22+nswg!J22+binangun!J22+krya!J22+adpla!J22+maos!J22+smpg!J22+ksghn!J22+kamla!J22+'cilut-Prnt'!J22+'cilteng-prnt'!J22+'cilse-prnt'!J22+'Kecamatan (25)'!J21</f>
        <v>435.56000000000006</v>
      </c>
      <c r="K22" s="31">
        <f>dayeuhluhur!K22+wnrja!K22+Majenang!K22+cmggu!K22+krpucung!K22+ptmn!K22+cipari!K22+sdrja!K22+kdreja!K22+gdmangu!K22+'bt sari'!K22+kwanten!K22+jrlegi!K22+nswg!K22+binangun!K22+krya!K22+adpla!K22+maos!K22+smpg!K22+ksghn!K22+kamla!K22+'cilut-Prnt'!K22+'cilteng-prnt'!K22+'cilse-prnt'!K22+'Kecamatan (25)'!K21</f>
        <v>4830.59</v>
      </c>
      <c r="L22" s="31">
        <f>dayeuhluhur!L22+wnrja!L22+Majenang!L22+cmggu!L22+krpucung!L22+ptmn!L22+cipari!L22+sdrja!L22+kdreja!L22+gdmangu!L22+'bt sari'!L22+kwanten!L22+jrlegi!L22+nswg!L22+binangun!L22+krya!L22+adpla!L22+maos!L22+smpg!L22+ksghn!L22+kamla!L22+'cilut-Prnt'!L22+'cilteng-prnt'!L22+'cilse-prnt'!L22+'Kecamatan (25)'!L21</f>
        <v>2526324.3600000003</v>
      </c>
      <c r="M22" s="31">
        <v>1098.23</v>
      </c>
      <c r="N22" s="31">
        <f>dayeuhluhur!N22+wnrja!N22+Majenang!N22+cmggu!N22+krpucung!N22+ptmn!N22+cipari!N22+sdrja!N22+kdreja!N22+gdmangu!N22+'bt sari'!N22+kwanten!N22+jrlegi!N22+nswg!N22+binangun!N22+krya!N22+adpla!N22+maos!N22+smpg!N22+ksghn!N22+kamla!N22+'cilut-Prnt'!N22+'cilteng-prnt'!N22+'cilse-prnt'!N22+'Kecamatan (25)'!N21</f>
        <v>3068382.3535000002</v>
      </c>
      <c r="O22" s="31">
        <f>N22/I22</f>
        <v>1249.0260412680836</v>
      </c>
      <c r="P22" s="24" t="s">
        <v>73</v>
      </c>
      <c r="Q22" s="38">
        <f>dayeuhluhur!Q22+wnrja!Q22+Majenang!Q22+cmggu!Q22+krpucung!Q22+ptmn!Q22+cipari!Q22+sdrja!Q22+kdreja!Q22+gdmangu!Q22+'bt sari'!Q22+kwanten!Q22+jrlegi!Q22+nswg!Q22+binangun!Q22+krya!Q22+adpla!Q22+maos!Q22+smpg!Q22+ksghn!Q22+kamla!Q22+'cilut-Prnt'!Q22+'cilteng-prnt'!Q22+'cilse-prnt'!Q22+'Kecamatan (25)'!Q21</f>
        <v>5369</v>
      </c>
      <c r="R22" s="38">
        <f>dayeuhluhur!R22+wnrja!R22+Majenang!R22+cmggu!R22+krpucung!R22+ptmn!R22+cipari!R22+sdrja!R22+kdreja!R22+gdmangu!R22+'bt sari'!R22+kwanten!R22+jrlegi!R22+nswg!R22+binangun!R22+krya!R22+adpla!R22+maos!R22+smpg!R22+ksghn!R22+kamla!R22+'cilut-Prnt'!R22+'cilteng-prnt'!R22+'cilse-prnt'!R22+'Kecamatan (25)'!R21</f>
        <v>0</v>
      </c>
      <c r="S22" s="24"/>
      <c r="W22" s="59"/>
    </row>
    <row r="23" spans="1:31" x14ac:dyDescent="0.35">
      <c r="A23" s="56">
        <v>13</v>
      </c>
      <c r="B23" s="57" t="s">
        <v>35</v>
      </c>
      <c r="C23" s="31">
        <f>dayeuhluhur!C23+wnrja!C23+Majenang!C23+cmggu!C23+krpucung!C23+ptmn!C23+cipari!C23+sdrja!C23+kdreja!C23+gdmangu!C23+'bt sari'!C23+kwanten!C23+jrlegi!C23+nswg!C23+binangun!C23+krya!C23+adpla!C23+maos!C23+smpg!C23+ksghn!C23+kamla!C23+'cilut-Prnt'!C23+'cilteng-prnt'!C23+'cilse-prnt'!C23+'Kecamatan (25)'!C22</f>
        <v>23591.5</v>
      </c>
      <c r="D23" s="31">
        <f>dayeuhluhur!D23+wnrja!D23+Majenang!D23+cmggu!D23+krpucung!D23+ptmn!D23+cipari!D23+sdrja!D23+kdreja!D23+gdmangu!D23+'bt sari'!D23+kwanten!D23+jrlegi!D23+nswg!D23+binangun!D23+krya!D23+adpla!D23+maos!D23+smpg!D23+ksghn!D23+kamla!D23+'cilut-Prnt'!D23+'cilteng-prnt'!D23+'cilse-prnt'!D23+'Kecamatan (25)'!D22</f>
        <v>58.3</v>
      </c>
      <c r="E23" s="31">
        <f>dayeuhluhur!E23+wnrja!E23+Majenang!E23+cmggu!E23+krpucung!E23+ptmn!E23+cipari!E23+sdrja!E23+kdreja!E23+gdmangu!E23+'bt sari'!E23+kwanten!E23+jrlegi!E23+nswg!E23+binangun!E23+krya!E23+adpla!E23+maos!E23+smpg!E23+ksghn!E23+kamla!E23+'cilut-Prnt'!E23+'cilteng-prnt'!E23+'cilse-prnt'!E23+'Kecamatan (25)'!E22</f>
        <v>405.8</v>
      </c>
      <c r="F23" s="31">
        <f>dayeuhluhur!F23+wnrja!F23+Majenang!F23+cmggu!F23+krpucung!F23+ptmn!F23+cipari!F23+sdrja!F23+kdreja!F23+gdmangu!F23+'bt sari'!F23+kwanten!F23+jrlegi!F23+nswg!F23+binangun!F23+krya!F23+adpla!F23+maos!F23+smpg!F23+ksghn!F23+kamla!F23+'cilut-Prnt'!F23+'cilteng-prnt'!F23+'cilse-prnt'!F23+'Kecamatan (25)'!F22</f>
        <v>264.8</v>
      </c>
      <c r="G23" s="31">
        <f t="shared" si="4"/>
        <v>23732.5</v>
      </c>
      <c r="H23" s="31">
        <f>dayeuhluhur!H23+wnrja!H23+Majenang!H23+cmggu!H23+krpucung!H23+ptmn!H23+cipari!H23+sdrja!H23+kdreja!H23+gdmangu!H23+'bt sari'!H23+kwanten!H23+jrlegi!H23+nswg!H23+binangun!H23+krya!H23+adpla!H23+maos!H23+smpg!H23+ksghn!H23+kamla!H23+'cilut-Prnt'!H23+'cilteng-prnt'!H23+'cilse-prnt'!H23+'Kecamatan (25)'!H22</f>
        <v>6338.04</v>
      </c>
      <c r="I23" s="31">
        <f>dayeuhluhur!I23+wnrja!I23+Majenang!I23+cmggu!I23+krpucung!I23+ptmn!I23+cipari!I23+sdrja!I23+kdreja!I23+gdmangu!I23+'bt sari'!I23+kwanten!I23+jrlegi!I23+nswg!I23+binangun!I23+krya!I23+adpla!I23+maos!I23+smpg!I23+ksghn!I23+kamla!I23+'cilut-Prnt'!I23+'cilteng-prnt'!I23+'cilse-prnt'!I23+'Kecamatan (25)'!I22</f>
        <v>12840.940000000002</v>
      </c>
      <c r="J23" s="31">
        <f>dayeuhluhur!J23+wnrja!J23+Majenang!J23+cmggu!J23+krpucung!J23+ptmn!J23+cipari!J23+sdrja!J23+kdreja!J23+gdmangu!J23+'bt sari'!J23+kwanten!J23+jrlegi!J23+nswg!J23+binangun!J23+krya!J23+adpla!J23+maos!J23+smpg!J23+ksghn!J23+kamla!J23+'cilut-Prnt'!J23+'cilteng-prnt'!J23+'cilse-prnt'!J23+'Kecamatan (25)'!J22</f>
        <v>4553.5200000000013</v>
      </c>
      <c r="K23" s="31">
        <f>dayeuhluhur!K23+wnrja!K23+Majenang!K23+cmggu!K23+krpucung!K23+ptmn!K23+cipari!K23+sdrja!K23+kdreja!K23+gdmangu!K23+'bt sari'!K23+kwanten!K23+jrlegi!K23+nswg!K23+binangun!K23+krya!K23+adpla!K23+maos!K23+smpg!K23+ksghn!K23+kamla!K23+'cilut-Prnt'!K23+'cilteng-prnt'!K23+'cilse-prnt'!K23+'Kecamatan (25)'!K22</f>
        <v>23732.5</v>
      </c>
      <c r="L23" s="31">
        <f>dayeuhluhur!L23+wnrja!L23+Majenang!L23+cmggu!L23+krpucung!L23+ptmn!L23+cipari!L23+sdrja!L23+kdreja!L23+gdmangu!L23+'bt sari'!L23+kwanten!L23+jrlegi!L23+nswg!L23+binangun!L23+krya!L23+adpla!L23+maos!L23+smpg!L23+ksghn!L23+kamla!L23+'cilut-Prnt'!L23+'cilteng-prnt'!L23+'cilse-prnt'!L23+'Kecamatan (25)'!L22</f>
        <v>11579743.799999999</v>
      </c>
      <c r="M23" s="31">
        <v>965.17</v>
      </c>
      <c r="N23" s="31">
        <f>dayeuhluhur!N23+wnrja!N23+Majenang!N23+cmggu!N23+krpucung!N23+ptmn!N23+cipari!N23+sdrja!N23+kdreja!N23+gdmangu!N23+'bt sari'!N23+kwanten!N23+jrlegi!N23+nswg!N23+binangun!N23+krya!N23+adpla!N23+maos!N23+smpg!N23+ksghn!N23+kamla!N23+'cilut-Prnt'!N23+'cilteng-prnt'!N23+'cilse-prnt'!N23+'Kecamatan (25)'!N22</f>
        <v>14564386.821999999</v>
      </c>
      <c r="O23" s="31">
        <f>N23/I23</f>
        <v>1134.2150046647673</v>
      </c>
      <c r="P23" s="24" t="s">
        <v>74</v>
      </c>
      <c r="Q23" s="38">
        <f>dayeuhluhur!Q23+wnrja!Q23+Majenang!Q23+cmggu!Q23+krpucung!Q23+ptmn!Q23+cipari!Q23+sdrja!Q23+kdreja!Q23+gdmangu!Q23+'bt sari'!Q23+kwanten!Q23+jrlegi!Q23+nswg!Q23+binangun!Q23+krya!Q23+adpla!Q23+maos!Q23+smpg!Q23+ksghn!Q23+kamla!Q23+'cilut-Prnt'!Q23+'cilteng-prnt'!Q23+'cilse-prnt'!Q23+'Kecamatan (25)'!Q22</f>
        <v>71537</v>
      </c>
      <c r="R23" s="38">
        <f>dayeuhluhur!R23+wnrja!R23+Majenang!R23+cmggu!R23+krpucung!R23+ptmn!R23+cipari!R23+sdrja!R23+kdreja!R23+gdmangu!R23+'bt sari'!R23+kwanten!R23+jrlegi!R23+nswg!R23+binangun!R23+krya!R23+adpla!R23+maos!R23+smpg!R23+ksghn!R23+kamla!R23+'cilut-Prnt'!R23+'cilteng-prnt'!R23+'cilse-prnt'!R23+'Kecamatan (25)'!R22</f>
        <v>0</v>
      </c>
      <c r="S23" s="24"/>
      <c r="V23" s="60"/>
      <c r="W23" s="59"/>
    </row>
    <row r="24" spans="1:31" x14ac:dyDescent="0.35">
      <c r="A24" s="56">
        <v>14</v>
      </c>
      <c r="B24" s="57" t="s">
        <v>36</v>
      </c>
      <c r="C24" s="31">
        <f>dayeuhluhur!C24+wnrja!C24+Majenang!C24+cmggu!C24+krpucung!C24+ptmn!C24+cipari!C24+sdrja!C24+kdreja!C24+gdmangu!C24+'bt sari'!C24+kwanten!C24+jrlegi!C24+nswg!C24+binangun!C24+krya!C24+adpla!C24+maos!C24+smpg!C24+ksghn!C24+kamla!C24+'cilut-Prnt'!C24+'cilteng-prnt'!C24+'cilse-prnt'!C24+'Kecamatan (25)'!C23</f>
        <v>5026.1799999999994</v>
      </c>
      <c r="D24" s="31">
        <f>dayeuhluhur!D24+wnrja!D24+Majenang!D24+cmggu!D24+krpucung!D24+ptmn!D24+cipari!D24+sdrja!D24+kdreja!D24+gdmangu!D24+'bt sari'!D24+kwanten!D24+jrlegi!D24+nswg!D24+binangun!D24+krya!D24+adpla!D24+maos!D24+smpg!D24+ksghn!D24+kamla!D24+'cilut-Prnt'!D24+'cilteng-prnt'!D24+'cilse-prnt'!D24+'Kecamatan (25)'!D23</f>
        <v>0</v>
      </c>
      <c r="E24" s="31">
        <f>dayeuhluhur!E24+wnrja!E24+Majenang!E24+cmggu!E24+krpucung!E24+ptmn!E24+cipari!E24+sdrja!E24+kdreja!E24+gdmangu!E24+'bt sari'!E24+kwanten!E24+jrlegi!E24+nswg!E24+binangun!E24+krya!E24+adpla!E24+maos!E24+smpg!E24+ksghn!E24+kamla!E24+'cilut-Prnt'!E24+'cilteng-prnt'!E24+'cilse-prnt'!E24+'Kecamatan (25)'!E23</f>
        <v>15.2</v>
      </c>
      <c r="F24" s="31">
        <f>dayeuhluhur!F24+wnrja!F24+Majenang!F24+cmggu!F24+krpucung!F24+ptmn!F24+cipari!F24+sdrja!F24+kdreja!F24+gdmangu!F24+'bt sari'!F24+kwanten!F24+jrlegi!F24+nswg!F24+binangun!F24+krya!F24+adpla!F24+maos!F24+smpg!F24+ksghn!F24+kamla!F24+'cilut-Prnt'!F24+'cilteng-prnt'!F24+'cilse-prnt'!F24+'Kecamatan (25)'!F23</f>
        <v>7.45</v>
      </c>
      <c r="G24" s="31">
        <f t="shared" si="4"/>
        <v>5033.9299999999994</v>
      </c>
      <c r="H24" s="31">
        <f>dayeuhluhur!H24+wnrja!H24+Majenang!H24+cmggu!H24+krpucung!H24+ptmn!H24+cipari!H24+sdrja!H24+kdreja!H24+gdmangu!H24+'bt sari'!H24+kwanten!H24+jrlegi!H24+nswg!H24+binangun!H24+krya!H24+adpla!H24+maos!H24+smpg!H24+ksghn!H24+kamla!H24+'cilut-Prnt'!H24+'cilteng-prnt'!H24+'cilse-prnt'!H24+'Kecamatan (25)'!H23</f>
        <v>0</v>
      </c>
      <c r="I24" s="31">
        <f>dayeuhluhur!I24+wnrja!I24+Majenang!I24+cmggu!I24+krpucung!I24+ptmn!I24+cipari!I24+sdrja!I24+kdreja!I24+gdmangu!I24+'bt sari'!I24+kwanten!I24+jrlegi!I24+nswg!I24+binangun!I24+krya!I24+adpla!I24+maos!I24+smpg!I24+ksghn!I24+kamla!I24+'cilut-Prnt'!I24+'cilteng-prnt'!I24+'cilse-prnt'!I24+'Kecamatan (25)'!I23</f>
        <v>4759.2299999999987</v>
      </c>
      <c r="J24" s="31">
        <f>dayeuhluhur!J24+wnrja!J24+Majenang!J24+cmggu!J24+krpucung!J24+ptmn!J24+cipari!J24+sdrja!J24+kdreja!J24+gdmangu!J24+'bt sari'!J24+kwanten!J24+jrlegi!J24+nswg!J24+binangun!J24+krya!J24+adpla!J24+maos!J24+smpg!J24+ksghn!J24+kamla!J24+'cilut-Prnt'!J24+'cilteng-prnt'!J24+'cilse-prnt'!J24+'Kecamatan (25)'!J23</f>
        <v>274.7</v>
      </c>
      <c r="K24" s="31">
        <f>dayeuhluhur!K24+wnrja!K24+Majenang!K24+cmggu!K24+krpucung!K24+ptmn!K24+cipari!K24+sdrja!K24+kdreja!K24+gdmangu!K24+'bt sari'!K24+kwanten!K24+jrlegi!K24+nswg!K24+binangun!K24+krya!K24+adpla!K24+maos!K24+smpg!K24+ksghn!K24+kamla!K24+'cilut-Prnt'!K24+'cilteng-prnt'!K24+'cilse-prnt'!K24+'Kecamatan (25)'!K23</f>
        <v>5033.93</v>
      </c>
      <c r="L24" s="31">
        <f>dayeuhluhur!L24+wnrja!L24+Majenang!L24+cmggu!L24+krpucung!L24+ptmn!L24+cipari!L24+sdrja!L24+kdreja!L24+gdmangu!L24+'bt sari'!L24+kwanten!L24+jrlegi!L24+nswg!L24+binangun!L24+krya!L24+adpla!L24+maos!L24+smpg!L24+ksghn!L24+kamla!L24+'cilut-Prnt'!L24+'cilteng-prnt'!L24+'cilse-prnt'!L24+'Kecamatan (25)'!L23</f>
        <v>42689554.009999998</v>
      </c>
      <c r="M24" s="31">
        <v>8837.5400000000009</v>
      </c>
      <c r="N24" s="31">
        <f>dayeuhluhur!N24+wnrja!N24+Majenang!N24+cmggu!N24+krpucung!N24+ptmn!N24+cipari!N24+sdrja!N24+kdreja!N24+gdmangu!N24+'bt sari'!N24+kwanten!N24+jrlegi!N24+nswg!N24+binangun!N24+krya!N24+adpla!N24+maos!N24+smpg!N24+ksghn!N24+kamla!N24+'cilut-Prnt'!N24+'cilteng-prnt'!N24+'cilse-prnt'!N24+'Kecamatan (25)'!N23</f>
        <v>42573507.656000003</v>
      </c>
      <c r="O24" s="31">
        <f>N24/I24</f>
        <v>8945.4612733572485</v>
      </c>
      <c r="P24" s="24" t="s">
        <v>75</v>
      </c>
      <c r="Q24" s="38">
        <f>dayeuhluhur!Q24+wnrja!Q24+Majenang!Q24+cmggu!Q24+krpucung!Q24+ptmn!Q24+cipari!Q24+sdrja!Q24+kdreja!Q24+gdmangu!Q24+'bt sari'!Q24+kwanten!Q24+jrlegi!Q24+nswg!Q24+binangun!Q24+krya!Q24+adpla!Q24+maos!Q24+smpg!Q24+ksghn!Q24+kamla!Q24+'cilut-Prnt'!Q24+'cilteng-prnt'!Q24+'cilse-prnt'!Q24+'Kecamatan (25)'!Q23</f>
        <v>13866</v>
      </c>
      <c r="R24" s="38">
        <f>dayeuhluhur!R24+wnrja!R24+Majenang!R24+cmggu!R24+krpucung!R24+ptmn!R24+cipari!R24+sdrja!R24+kdreja!R24+gdmangu!R24+'bt sari'!R24+kwanten!R24+jrlegi!R24+nswg!R24+binangun!R24+krya!R24+adpla!R24+maos!R24+smpg!R24+ksghn!R24+kamla!R24+'cilut-Prnt'!R24+'cilteng-prnt'!R24+'cilse-prnt'!R24+'Kecamatan (25)'!R23</f>
        <v>0</v>
      </c>
      <c r="S24" s="24"/>
      <c r="V24" s="60"/>
      <c r="W24" s="59"/>
    </row>
    <row r="25" spans="1:31" x14ac:dyDescent="0.35">
      <c r="A25" s="56">
        <v>15</v>
      </c>
      <c r="B25" s="57" t="s">
        <v>37</v>
      </c>
      <c r="C25" s="31">
        <f>dayeuhluhur!C25+wnrja!C25+Majenang!C25+cmggu!C25+krpucung!C25+ptmn!C25+cipari!C25+sdrja!C25+kdreja!C25+gdmangu!C25+'bt sari'!C25+kwanten!C25+jrlegi!C25+nswg!C25+binangun!C25+krya!C25+adpla!C25+maos!C25+smpg!C25+ksghn!C25+kamla!C25+'cilut-Prnt'!C25+'cilteng-prnt'!C25+'cilse-prnt'!C25+'Kecamatan (25)'!C24</f>
        <v>0</v>
      </c>
      <c r="D25" s="31">
        <f>dayeuhluhur!D25+wnrja!D25+Majenang!D25+cmggu!D25+krpucung!D25+ptmn!D25+cipari!D25+sdrja!D25+kdreja!D25+gdmangu!D25+'bt sari'!D25+kwanten!D25+jrlegi!D25+nswg!D25+binangun!D25+krya!D25+adpla!D25+maos!D25+smpg!D25+ksghn!D25+kamla!D25+'cilut-Prnt'!D25+'cilteng-prnt'!D25+'cilse-prnt'!D25+'Kecamatan (25)'!D24</f>
        <v>0</v>
      </c>
      <c r="E25" s="31">
        <f>dayeuhluhur!E25+wnrja!E25+Majenang!E25+cmggu!E25+krpucung!E25+ptmn!E25+cipari!E25+sdrja!E25+kdreja!E25+gdmangu!E25+'bt sari'!E25+kwanten!E25+jrlegi!E25+nswg!E25+binangun!E25+krya!E25+adpla!E25+maos!E25+smpg!E25+ksghn!E25+kamla!E25+'cilut-Prnt'!E25+'cilteng-prnt'!E25+'cilse-prnt'!E25+'Kecamatan (25)'!E24</f>
        <v>0</v>
      </c>
      <c r="F25" s="31">
        <f>dayeuhluhur!F25+wnrja!F25+Majenang!F25+cmggu!F25+krpucung!F25+ptmn!F25+cipari!F25+sdrja!F25+kdreja!F25+gdmangu!F25+'bt sari'!F25+kwanten!F25+jrlegi!F25+nswg!F25+binangun!F25+krya!F25+adpla!F25+maos!F25+smpg!F25+ksghn!F25+kamla!F25+'cilut-Prnt'!F25+'cilteng-prnt'!F25+'cilse-prnt'!F25+'Kecamatan (25)'!F24</f>
        <v>0</v>
      </c>
      <c r="G25" s="31">
        <f t="shared" si="4"/>
        <v>0</v>
      </c>
      <c r="H25" s="31">
        <f>dayeuhluhur!H25+wnrja!H25+Majenang!H25+cmggu!H25+krpucung!H25+ptmn!H25+cipari!H25+sdrja!H25+kdreja!H25+gdmangu!H25+'bt sari'!H25+kwanten!H25+jrlegi!H25+nswg!H25+binangun!H25+krya!H25+adpla!H25+maos!H25+smpg!H25+ksghn!H25+kamla!H25+'cilut-Prnt'!H25+'cilteng-prnt'!H25+'cilse-prnt'!H25+'Kecamatan (25)'!H24</f>
        <v>0</v>
      </c>
      <c r="I25" s="31">
        <f>dayeuhluhur!I25+wnrja!I25+Majenang!I25+cmggu!I25+krpucung!I25+ptmn!I25+cipari!I25+sdrja!I25+kdreja!I25+gdmangu!I25+'bt sari'!I25+kwanten!I25+jrlegi!I25+nswg!I25+binangun!I25+krya!I25+adpla!I25+maos!I25+smpg!I25+ksghn!I25+kamla!I25+'cilut-Prnt'!I25+'cilteng-prnt'!I25+'cilse-prnt'!I25+'Kecamatan (25)'!I24</f>
        <v>0</v>
      </c>
      <c r="J25" s="31">
        <f>dayeuhluhur!J25+wnrja!J25+Majenang!J25+cmggu!J25+krpucung!J25+ptmn!J25+cipari!J25+sdrja!J25+kdreja!J25+gdmangu!J25+'bt sari'!J25+kwanten!J25+jrlegi!J25+nswg!J25+binangun!J25+krya!J25+adpla!J25+maos!J25+smpg!J25+ksghn!J25+kamla!J25+'cilut-Prnt'!J25+'cilteng-prnt'!J25+'cilse-prnt'!J25+'Kecamatan (25)'!J24</f>
        <v>0</v>
      </c>
      <c r="K25" s="31">
        <f>dayeuhluhur!K25+wnrja!K25+Majenang!K25+cmggu!K25+krpucung!K25+ptmn!K25+cipari!K25+sdrja!K25+kdreja!K25+gdmangu!K25+'bt sari'!K25+kwanten!K25+jrlegi!K25+nswg!K25+binangun!K25+krya!K25+adpla!K25+maos!K25+smpg!K25+ksghn!K25+kamla!K25+'cilut-Prnt'!K25+'cilteng-prnt'!K25+'cilse-prnt'!K25+'Kecamatan (25)'!K24</f>
        <v>0</v>
      </c>
      <c r="L25" s="31">
        <f>dayeuhluhur!L25+wnrja!L25+Majenang!L25+cmggu!L25+krpucung!L25+ptmn!L25+cipari!L25+sdrja!L25+kdreja!L25+gdmangu!L25+'bt sari'!L25+kwanten!L25+jrlegi!L25+nswg!L25+binangun!L25+krya!L25+adpla!L25+maos!L25+smpg!L25+ksghn!L25+kamla!L25+'cilut-Prnt'!L25+'cilteng-prnt'!L25+'cilse-prnt'!L25+'Kecamatan (25)'!L24</f>
        <v>0</v>
      </c>
      <c r="M25" s="31"/>
      <c r="N25" s="31">
        <f>dayeuhluhur!N25+wnrja!N25+Majenang!N25+cmggu!N25+krpucung!N25+ptmn!N25+cipari!N25+sdrja!N25+kdreja!N25+gdmangu!N25+'bt sari'!N25+kwanten!N25+jrlegi!N25+nswg!N25+binangun!N25+krya!N25+adpla!N25+maos!N25+smpg!N25+ksghn!N25+kamla!N25+'cilut-Prnt'!N25+'cilteng-prnt'!N25+'cilse-prnt'!N25+'Kecamatan (25)'!N24</f>
        <v>0</v>
      </c>
      <c r="O25" s="31">
        <f>dayeuhluhur!O25+wnrja!O25+Majenang!O25+cmggu!O25+krpucung!O25+ptmn!O25+cipari!O25+sdrja!O25+kdreja!O25+gdmangu!O25+'bt sari'!O25+kwanten!O25+jrlegi!O25+nswg!O25+binangun!O25+krya!O25+adpla!O25+maos!O25+smpg!O25+ksghn!O25+kamla!O25+'cilut-Prnt'!O25+'cilteng-prnt'!O25+'cilse-prnt'!O25+'Kecamatan (25)'!O24</f>
        <v>0</v>
      </c>
      <c r="P25" s="24" t="s">
        <v>74</v>
      </c>
      <c r="Q25" s="38">
        <f>dayeuhluhur!Q25+wnrja!Q25+Majenang!Q25+cmggu!Q25+krpucung!Q25+ptmn!Q25+cipari!Q25+sdrja!Q25+kdreja!Q25+gdmangu!Q25+'bt sari'!Q25+kwanten!Q25+jrlegi!Q25+nswg!Q25+binangun!Q25+krya!Q25+adpla!Q25+maos!Q25+smpg!Q25+ksghn!Q25+kamla!Q25+'cilut-Prnt'!Q25+'cilteng-prnt'!Q25+'cilse-prnt'!Q25+'Kecamatan (25)'!Q24</f>
        <v>0</v>
      </c>
      <c r="R25" s="38">
        <f>dayeuhluhur!R25+wnrja!R25+Majenang!R25+cmggu!R25+krpucung!R25+ptmn!R25+cipari!R25+sdrja!R25+kdreja!R25+gdmangu!R25+'bt sari'!R25+kwanten!R25+jrlegi!R25+nswg!R25+binangun!R25+krya!R25+adpla!R25+maos!R25+smpg!R25+ksghn!R25+kamla!R25+'cilut-Prnt'!R25+'cilteng-prnt'!R25+'cilse-prnt'!R25+'Kecamatan (25)'!R24</f>
        <v>0</v>
      </c>
      <c r="S25" s="24"/>
      <c r="W25" s="59"/>
      <c r="AD25" s="40" t="e">
        <f>CONCATENATE(#REF!,B26)</f>
        <v>#REF!</v>
      </c>
      <c r="AE25" s="40" t="e">
        <f t="shared" ref="AE25:AE37" si="5">IF(L26="","",L26/M26)</f>
        <v>#DIV/0!</v>
      </c>
    </row>
    <row r="26" spans="1:31" x14ac:dyDescent="0.35">
      <c r="A26" s="56">
        <v>16</v>
      </c>
      <c r="B26" s="57" t="s">
        <v>38</v>
      </c>
      <c r="C26" s="31">
        <f>dayeuhluhur!C26+wnrja!C26+Majenang!C26+cmggu!C26+krpucung!C26+ptmn!C26+cipari!C26+sdrja!C26+kdreja!C26+gdmangu!C26+'bt sari'!C26+kwanten!C26+jrlegi!C26+nswg!C26+binangun!C26+krya!C26+adpla!C26+maos!C26+smpg!C26+ksghn!C26+kamla!C26+'cilut-Prnt'!C26+'cilteng-prnt'!C26+'cilse-prnt'!C26+'Kecamatan (25)'!C25</f>
        <v>0</v>
      </c>
      <c r="D26" s="31">
        <f>dayeuhluhur!D26+wnrja!D26+Majenang!D26+cmggu!D26+krpucung!D26+ptmn!D26+cipari!D26+sdrja!D26+kdreja!D26+gdmangu!D26+'bt sari'!D26+kwanten!D26+jrlegi!D26+nswg!D26+binangun!D26+krya!D26+adpla!D26+maos!D26+smpg!D26+ksghn!D26+kamla!D26+'cilut-Prnt'!D26+'cilteng-prnt'!D26+'cilse-prnt'!D26+'Kecamatan (25)'!D25</f>
        <v>0</v>
      </c>
      <c r="E26" s="31">
        <f>dayeuhluhur!E26+wnrja!E26+Majenang!E26+cmggu!E26+krpucung!E26+ptmn!E26+cipari!E26+sdrja!E26+kdreja!E26+gdmangu!E26+'bt sari'!E26+kwanten!E26+jrlegi!E26+nswg!E26+binangun!E26+krya!E26+adpla!E26+maos!E26+smpg!E26+ksghn!E26+kamla!E26+'cilut-Prnt'!E26+'cilteng-prnt'!E26+'cilse-prnt'!E26+'Kecamatan (25)'!E25</f>
        <v>0</v>
      </c>
      <c r="F26" s="31">
        <f>dayeuhluhur!F26+wnrja!F26+Majenang!F26+cmggu!F26+krpucung!F26+ptmn!F26+cipari!F26+sdrja!F26+kdreja!F26+gdmangu!F26+'bt sari'!F26+kwanten!F26+jrlegi!F26+nswg!F26+binangun!F26+krya!F26+adpla!F26+maos!F26+smpg!F26+ksghn!F26+kamla!F26+'cilut-Prnt'!F26+'cilteng-prnt'!F26+'cilse-prnt'!F26+'Kecamatan (25)'!F25</f>
        <v>0</v>
      </c>
      <c r="G26" s="31">
        <f t="shared" si="4"/>
        <v>0</v>
      </c>
      <c r="H26" s="31">
        <f>dayeuhluhur!H26+wnrja!H26+Majenang!H26+cmggu!H26+krpucung!H26+ptmn!H26+cipari!H26+sdrja!H26+kdreja!H26+gdmangu!H26+'bt sari'!H26+kwanten!H26+jrlegi!H26+nswg!H26+binangun!H26+krya!H26+adpla!H26+maos!H26+smpg!H26+ksghn!H26+kamla!H26+'cilut-Prnt'!H26+'cilteng-prnt'!H26+'cilse-prnt'!H26+'Kecamatan (25)'!H25</f>
        <v>0</v>
      </c>
      <c r="I26" s="31">
        <f>dayeuhluhur!I26+wnrja!I26+Majenang!I26+cmggu!I26+krpucung!I26+ptmn!I26+cipari!I26+sdrja!I26+kdreja!I26+gdmangu!I26+'bt sari'!I26+kwanten!I26+jrlegi!I26+nswg!I26+binangun!I26+krya!I26+adpla!I26+maos!I26+smpg!I26+ksghn!I26+kamla!I26+'cilut-Prnt'!I26+'cilteng-prnt'!I26+'cilse-prnt'!I26+'Kecamatan (25)'!I25</f>
        <v>0</v>
      </c>
      <c r="J26" s="31">
        <f>dayeuhluhur!J26+wnrja!J26+Majenang!J26+cmggu!J26+krpucung!J26+ptmn!J26+cipari!J26+sdrja!J26+kdreja!J26+gdmangu!J26+'bt sari'!J26+kwanten!J26+jrlegi!J26+nswg!J26+binangun!J26+krya!J26+adpla!J26+maos!J26+smpg!J26+ksghn!J26+kamla!J26+'cilut-Prnt'!J26+'cilteng-prnt'!J26+'cilse-prnt'!J26+'Kecamatan (25)'!J25</f>
        <v>0</v>
      </c>
      <c r="K26" s="31">
        <f>dayeuhluhur!K26+wnrja!K26+Majenang!K26+cmggu!K26+krpucung!K26+ptmn!K26+cipari!K26+sdrja!K26+kdreja!K26+gdmangu!K26+'bt sari'!K26+kwanten!K26+jrlegi!K26+nswg!K26+binangun!K26+krya!K26+adpla!K26+maos!K26+smpg!K26+ksghn!K26+kamla!K26+'cilut-Prnt'!K26+'cilteng-prnt'!K26+'cilse-prnt'!K26+'Kecamatan (25)'!K25</f>
        <v>0</v>
      </c>
      <c r="L26" s="31">
        <f>dayeuhluhur!L26+wnrja!L26+Majenang!L26+cmggu!L26+krpucung!L26+ptmn!L26+cipari!L26+sdrja!L26+kdreja!L26+gdmangu!L26+'bt sari'!L26+kwanten!L26+jrlegi!L26+nswg!L26+binangun!L26+krya!L26+adpla!L26+maos!L26+smpg!L26+ksghn!L26+kamla!L26+'cilut-Prnt'!L26+'cilteng-prnt'!L26+'cilse-prnt'!L26+'Kecamatan (25)'!L25</f>
        <v>0</v>
      </c>
      <c r="M26" s="31"/>
      <c r="N26" s="31">
        <f>dayeuhluhur!N26+wnrja!N26+Majenang!N26+cmggu!N26+krpucung!N26+ptmn!N26+cipari!N26+sdrja!N26+kdreja!N26+gdmangu!N26+'bt sari'!N26+kwanten!N26+jrlegi!N26+nswg!N26+binangun!N26+krya!N26+adpla!N26+maos!N26+smpg!N26+ksghn!N26+kamla!N26+'cilut-Prnt'!N26+'cilteng-prnt'!N26+'cilse-prnt'!N26+'Kecamatan (25)'!N25</f>
        <v>0</v>
      </c>
      <c r="O26" s="31">
        <f>dayeuhluhur!O26+wnrja!O26+Majenang!O26+cmggu!O26+krpucung!O26+ptmn!O26+cipari!O26+sdrja!O26+kdreja!O26+gdmangu!O26+'bt sari'!O26+kwanten!O26+jrlegi!O26+nswg!O26+binangun!O26+krya!O26+adpla!O26+maos!O26+smpg!O26+ksghn!O26+kamla!O26+'cilut-Prnt'!O26+'cilteng-prnt'!O26+'cilse-prnt'!O26+'Kecamatan (25)'!O25</f>
        <v>0</v>
      </c>
      <c r="P26" s="24" t="s">
        <v>76</v>
      </c>
      <c r="Q26" s="38">
        <f>dayeuhluhur!Q26+wnrja!Q26+Majenang!Q26+cmggu!Q26+krpucung!Q26+ptmn!Q26+cipari!Q26+sdrja!Q26+kdreja!Q26+gdmangu!Q26+'bt sari'!Q26+kwanten!Q26+jrlegi!Q26+nswg!Q26+binangun!Q26+krya!Q26+adpla!Q26+maos!Q26+smpg!Q26+ksghn!Q26+kamla!Q26+'cilut-Prnt'!Q26+'cilteng-prnt'!Q26+'cilse-prnt'!Q26+'Kecamatan (25)'!Q25</f>
        <v>0</v>
      </c>
      <c r="R26" s="38">
        <f>dayeuhluhur!R26+wnrja!R26+Majenang!R26+cmggu!R26+krpucung!R26+ptmn!R26+cipari!R26+sdrja!R26+kdreja!R26+gdmangu!R26+'bt sari'!R26+kwanten!R26+jrlegi!R26+nswg!R26+binangun!R26+krya!R26+adpla!R26+maos!R26+smpg!R26+ksghn!R26+kamla!R26+'cilut-Prnt'!R26+'cilteng-prnt'!R26+'cilse-prnt'!R26+'Kecamatan (25)'!R25</f>
        <v>0</v>
      </c>
      <c r="S26" s="24"/>
      <c r="AD26" s="40" t="e">
        <f>CONCATENATE(#REF!,B27)</f>
        <v>#REF!</v>
      </c>
      <c r="AE26" s="40" t="e">
        <f t="shared" si="5"/>
        <v>#DIV/0!</v>
      </c>
    </row>
    <row r="27" spans="1:31" x14ac:dyDescent="0.35">
      <c r="A27" s="56">
        <v>17</v>
      </c>
      <c r="B27" s="57" t="s">
        <v>39</v>
      </c>
      <c r="C27" s="31">
        <f>dayeuhluhur!C27+wnrja!C27+Majenang!C27+cmggu!C27+krpucung!C27+ptmn!C27+cipari!C27+sdrja!C27+kdreja!C27+gdmangu!C27+'bt sari'!C27+kwanten!C27+jrlegi!C27+nswg!C27+binangun!C27+krya!C27+adpla!C27+maos!C27+smpg!C27+ksghn!C27+kamla!C27+'cilut-Prnt'!C27+'cilteng-prnt'!C27+'cilse-prnt'!C27+'Kecamatan (25)'!C26</f>
        <v>0</v>
      </c>
      <c r="D27" s="31">
        <f>dayeuhluhur!D27+wnrja!D27+Majenang!D27+cmggu!D27+krpucung!D27+ptmn!D27+cipari!D27+sdrja!D27+kdreja!D27+gdmangu!D27+'bt sari'!D27+kwanten!D27+jrlegi!D27+nswg!D27+binangun!D27+krya!D27+adpla!D27+maos!D27+smpg!D27+ksghn!D27+kamla!D27+'cilut-Prnt'!D27+'cilteng-prnt'!D27+'cilse-prnt'!D27+'Kecamatan (25)'!D26</f>
        <v>0</v>
      </c>
      <c r="E27" s="31">
        <f>dayeuhluhur!E27+wnrja!E27+Majenang!E27+cmggu!E27+krpucung!E27+ptmn!E27+cipari!E27+sdrja!E27+kdreja!E27+gdmangu!E27+'bt sari'!E27+kwanten!E27+jrlegi!E27+nswg!E27+binangun!E27+krya!E27+adpla!E27+maos!E27+smpg!E27+ksghn!E27+kamla!E27+'cilut-Prnt'!E27+'cilteng-prnt'!E27+'cilse-prnt'!E27+'Kecamatan (25)'!E26</f>
        <v>0</v>
      </c>
      <c r="F27" s="31">
        <f>dayeuhluhur!F27+wnrja!F27+Majenang!F27+cmggu!F27+krpucung!F27+ptmn!F27+cipari!F27+sdrja!F27+kdreja!F27+gdmangu!F27+'bt sari'!F27+kwanten!F27+jrlegi!F27+nswg!F27+binangun!F27+krya!F27+adpla!F27+maos!F27+smpg!F27+ksghn!F27+kamla!F27+'cilut-Prnt'!F27+'cilteng-prnt'!F27+'cilse-prnt'!F27+'Kecamatan (25)'!F26</f>
        <v>0</v>
      </c>
      <c r="G27" s="31">
        <f t="shared" si="4"/>
        <v>0</v>
      </c>
      <c r="H27" s="31">
        <f>dayeuhluhur!H27+wnrja!H27+Majenang!H27+cmggu!H27+krpucung!H27+ptmn!H27+cipari!H27+sdrja!H27+kdreja!H27+gdmangu!H27+'bt sari'!H27+kwanten!H27+jrlegi!H27+nswg!H27+binangun!H27+krya!H27+adpla!H27+maos!H27+smpg!H27+ksghn!H27+kamla!H27+'cilut-Prnt'!H27+'cilteng-prnt'!H27+'cilse-prnt'!H27+'Kecamatan (25)'!H26</f>
        <v>0</v>
      </c>
      <c r="I27" s="31">
        <f>dayeuhluhur!I27+wnrja!I27+Majenang!I27+cmggu!I27+krpucung!I27+ptmn!I27+cipari!I27+sdrja!I27+kdreja!I27+gdmangu!I27+'bt sari'!I27+kwanten!I27+jrlegi!I27+nswg!I27+binangun!I27+krya!I27+adpla!I27+maos!I27+smpg!I27+ksghn!I27+kamla!I27+'cilut-Prnt'!I27+'cilteng-prnt'!I27+'cilse-prnt'!I27+'Kecamatan (25)'!I26</f>
        <v>0</v>
      </c>
      <c r="J27" s="31">
        <f>dayeuhluhur!J27+wnrja!J27+Majenang!J27+cmggu!J27+krpucung!J27+ptmn!J27+cipari!J27+sdrja!J27+kdreja!J27+gdmangu!J27+'bt sari'!J27+kwanten!J27+jrlegi!J27+nswg!J27+binangun!J27+krya!J27+adpla!J27+maos!J27+smpg!J27+ksghn!J27+kamla!J27+'cilut-Prnt'!J27+'cilteng-prnt'!J27+'cilse-prnt'!J27+'Kecamatan (25)'!J26</f>
        <v>0</v>
      </c>
      <c r="K27" s="31">
        <f>dayeuhluhur!K27+wnrja!K27+Majenang!K27+cmggu!K27+krpucung!K27+ptmn!K27+cipari!K27+sdrja!K27+kdreja!K27+gdmangu!K27+'bt sari'!K27+kwanten!K27+jrlegi!K27+nswg!K27+binangun!K27+krya!K27+adpla!K27+maos!K27+smpg!K27+ksghn!K27+kamla!K27+'cilut-Prnt'!K27+'cilteng-prnt'!K27+'cilse-prnt'!K27+'Kecamatan (25)'!K26</f>
        <v>0</v>
      </c>
      <c r="L27" s="31">
        <f>dayeuhluhur!L27+wnrja!L27+Majenang!L27+cmggu!L27+krpucung!L27+ptmn!L27+cipari!L27+sdrja!L27+kdreja!L27+gdmangu!L27+'bt sari'!L27+kwanten!L27+jrlegi!L27+nswg!L27+binangun!L27+krya!L27+adpla!L27+maos!L27+smpg!L27+ksghn!L27+kamla!L27+'cilut-Prnt'!L27+'cilteng-prnt'!L27+'cilse-prnt'!L27+'Kecamatan (25)'!L26</f>
        <v>0</v>
      </c>
      <c r="M27" s="31"/>
      <c r="N27" s="31">
        <f>dayeuhluhur!N27+wnrja!N27+Majenang!N27+cmggu!N27+krpucung!N27+ptmn!N27+cipari!N27+sdrja!N27+kdreja!N27+gdmangu!N27+'bt sari'!N27+kwanten!N27+jrlegi!N27+nswg!N27+binangun!N27+krya!N27+adpla!N27+maos!N27+smpg!N27+ksghn!N27+kamla!N27+'cilut-Prnt'!N27+'cilteng-prnt'!N27+'cilse-prnt'!N27+'Kecamatan (25)'!N26</f>
        <v>0</v>
      </c>
      <c r="O27" s="31">
        <f>dayeuhluhur!O27+wnrja!O27+Majenang!O27+cmggu!O27+krpucung!O27+ptmn!O27+cipari!O27+sdrja!O27+kdreja!O27+gdmangu!O27+'bt sari'!O27+kwanten!O27+jrlegi!O27+nswg!O27+binangun!O27+krya!O27+adpla!O27+maos!O27+smpg!O27+ksghn!O27+kamla!O27+'cilut-Prnt'!O27+'cilteng-prnt'!O27+'cilse-prnt'!O27+'Kecamatan (25)'!O26</f>
        <v>0</v>
      </c>
      <c r="P27" s="24" t="s">
        <v>77</v>
      </c>
      <c r="Q27" s="38">
        <f>dayeuhluhur!Q27+wnrja!Q27+Majenang!Q27+cmggu!Q27+krpucung!Q27+ptmn!Q27+cipari!Q27+sdrja!Q27+kdreja!Q27+gdmangu!Q27+'bt sari'!Q27+kwanten!Q27+jrlegi!Q27+nswg!Q27+binangun!Q27+krya!Q27+adpla!Q27+maos!Q27+smpg!Q27+ksghn!Q27+kamla!Q27+'cilut-Prnt'!Q27+'cilteng-prnt'!Q27+'cilse-prnt'!Q27+'Kecamatan (25)'!Q26</f>
        <v>0</v>
      </c>
      <c r="R27" s="38">
        <f>dayeuhluhur!R27+wnrja!R27+Majenang!R27+cmggu!R27+krpucung!R27+ptmn!R27+cipari!R27+sdrja!R27+kdreja!R27+gdmangu!R27+'bt sari'!R27+kwanten!R27+jrlegi!R27+nswg!R27+binangun!R27+krya!R27+adpla!R27+maos!R27+smpg!R27+ksghn!R27+kamla!R27+'cilut-Prnt'!R27+'cilteng-prnt'!R27+'cilse-prnt'!R27+'Kecamatan (25)'!R26</f>
        <v>0</v>
      </c>
      <c r="S27" s="24"/>
      <c r="AD27" s="40" t="e">
        <f>CONCATENATE(#REF!,B28)</f>
        <v>#REF!</v>
      </c>
      <c r="AE27" s="40" t="e">
        <f t="shared" si="5"/>
        <v>#DIV/0!</v>
      </c>
    </row>
    <row r="28" spans="1:31" x14ac:dyDescent="0.35">
      <c r="A28" s="56">
        <v>18</v>
      </c>
      <c r="B28" s="57" t="s">
        <v>40</v>
      </c>
      <c r="C28" s="31">
        <f>dayeuhluhur!C28+wnrja!C28+Majenang!C28+cmggu!C28+krpucung!C28+ptmn!C28+cipari!C28+sdrja!C28+kdreja!C28+gdmangu!C28+'bt sari'!C28+kwanten!C28+jrlegi!C28+nswg!C28+binangun!C28+krya!C28+adpla!C28+maos!C28+smpg!C28+ksghn!C28+kamla!C28+'cilut-Prnt'!C28+'cilteng-prnt'!C28+'cilse-prnt'!C28+'Kecamatan (25)'!C27</f>
        <v>0</v>
      </c>
      <c r="D28" s="31">
        <f>dayeuhluhur!D28+wnrja!D28+Majenang!D28+cmggu!D28+krpucung!D28+ptmn!D28+cipari!D28+sdrja!D28+kdreja!D28+gdmangu!D28+'bt sari'!D28+kwanten!D28+jrlegi!D28+nswg!D28+binangun!D28+krya!D28+adpla!D28+maos!D28+smpg!D28+ksghn!D28+kamla!D28+'cilut-Prnt'!D28+'cilteng-prnt'!D28+'cilse-prnt'!D28+'Kecamatan (25)'!D27</f>
        <v>0</v>
      </c>
      <c r="E28" s="31">
        <f>dayeuhluhur!E28+wnrja!E28+Majenang!E28+cmggu!E28+krpucung!E28+ptmn!E28+cipari!E28+sdrja!E28+kdreja!E28+gdmangu!E28+'bt sari'!E28+kwanten!E28+jrlegi!E28+nswg!E28+binangun!E28+krya!E28+adpla!E28+maos!E28+smpg!E28+ksghn!E28+kamla!E28+'cilut-Prnt'!E28+'cilteng-prnt'!E28+'cilse-prnt'!E28+'Kecamatan (25)'!E27</f>
        <v>0</v>
      </c>
      <c r="F28" s="31">
        <f>dayeuhluhur!F28+wnrja!F28+Majenang!F28+cmggu!F28+krpucung!F28+ptmn!F28+cipari!F28+sdrja!F28+kdreja!F28+gdmangu!F28+'bt sari'!F28+kwanten!F28+jrlegi!F28+nswg!F28+binangun!F28+krya!F28+adpla!F28+maos!F28+smpg!F28+ksghn!F28+kamla!F28+'cilut-Prnt'!F28+'cilteng-prnt'!F28+'cilse-prnt'!F28+'Kecamatan (25)'!F27</f>
        <v>0</v>
      </c>
      <c r="G28" s="31">
        <f t="shared" si="4"/>
        <v>0</v>
      </c>
      <c r="H28" s="31">
        <f>dayeuhluhur!H28+wnrja!H28+Majenang!H28+cmggu!H28+krpucung!H28+ptmn!H28+cipari!H28+sdrja!H28+kdreja!H28+gdmangu!H28+'bt sari'!H28+kwanten!H28+jrlegi!H28+nswg!H28+binangun!H28+krya!H28+adpla!H28+maos!H28+smpg!H28+ksghn!H28+kamla!H28+'cilut-Prnt'!H28+'cilteng-prnt'!H28+'cilse-prnt'!H28+'Kecamatan (25)'!H27</f>
        <v>0</v>
      </c>
      <c r="I28" s="31">
        <f>dayeuhluhur!I28+wnrja!I28+Majenang!I28+cmggu!I28+krpucung!I28+ptmn!I28+cipari!I28+sdrja!I28+kdreja!I28+gdmangu!I28+'bt sari'!I28+kwanten!I28+jrlegi!I28+nswg!I28+binangun!I28+krya!I28+adpla!I28+maos!I28+smpg!I28+ksghn!I28+kamla!I28+'cilut-Prnt'!I28+'cilteng-prnt'!I28+'cilse-prnt'!I28+'Kecamatan (25)'!I27</f>
        <v>0</v>
      </c>
      <c r="J28" s="31">
        <f>dayeuhluhur!J28+wnrja!J28+Majenang!J28+cmggu!J28+krpucung!J28+ptmn!J28+cipari!J28+sdrja!J28+kdreja!J28+gdmangu!J28+'bt sari'!J28+kwanten!J28+jrlegi!J28+nswg!J28+binangun!J28+krya!J28+adpla!J28+maos!J28+smpg!J28+ksghn!J28+kamla!J28+'cilut-Prnt'!J28+'cilteng-prnt'!J28+'cilse-prnt'!J28+'Kecamatan (25)'!J27</f>
        <v>0</v>
      </c>
      <c r="K28" s="31">
        <f>dayeuhluhur!K28+wnrja!K28+Majenang!K28+cmggu!K28+krpucung!K28+ptmn!K28+cipari!K28+sdrja!K28+kdreja!K28+gdmangu!K28+'bt sari'!K28+kwanten!K28+jrlegi!K28+nswg!K28+binangun!K28+krya!K28+adpla!K28+maos!K28+smpg!K28+ksghn!K28+kamla!K28+'cilut-Prnt'!K28+'cilteng-prnt'!K28+'cilse-prnt'!K28+'Kecamatan (25)'!K27</f>
        <v>0</v>
      </c>
      <c r="L28" s="31">
        <f>dayeuhluhur!L28+wnrja!L28+Majenang!L28+cmggu!L28+krpucung!L28+ptmn!L28+cipari!L28+sdrja!L28+kdreja!L28+gdmangu!L28+'bt sari'!L28+kwanten!L28+jrlegi!L28+nswg!L28+binangun!L28+krya!L28+adpla!L28+maos!L28+smpg!L28+ksghn!L28+kamla!L28+'cilut-Prnt'!L28+'cilteng-prnt'!L28+'cilse-prnt'!L28+'Kecamatan (25)'!L27</f>
        <v>0</v>
      </c>
      <c r="M28" s="31"/>
      <c r="N28" s="31">
        <f>dayeuhluhur!N28+wnrja!N28+Majenang!N28+cmggu!N28+krpucung!N28+ptmn!N28+cipari!N28+sdrja!N28+kdreja!N28+gdmangu!N28+'bt sari'!N28+kwanten!N28+jrlegi!N28+nswg!N28+binangun!N28+krya!N28+adpla!N28+maos!N28+smpg!N28+ksghn!N28+kamla!N28+'cilut-Prnt'!N28+'cilteng-prnt'!N28+'cilse-prnt'!N28+'Kecamatan (25)'!N27</f>
        <v>0</v>
      </c>
      <c r="O28" s="31">
        <f>dayeuhluhur!O28+wnrja!O28+Majenang!O28+cmggu!O28+krpucung!O28+ptmn!O28+cipari!O28+sdrja!O28+kdreja!O28+gdmangu!O28+'bt sari'!O28+kwanten!O28+jrlegi!O28+nswg!O28+binangun!O28+krya!O28+adpla!O28+maos!O28+smpg!O28+ksghn!O28+kamla!O28+'cilut-Prnt'!O28+'cilteng-prnt'!O28+'cilse-prnt'!O28+'Kecamatan (25)'!O27</f>
        <v>0</v>
      </c>
      <c r="P28" s="24" t="s">
        <v>78</v>
      </c>
      <c r="Q28" s="38">
        <f>dayeuhluhur!Q28+wnrja!Q28+Majenang!Q28+cmggu!Q28+krpucung!Q28+ptmn!Q28+cipari!Q28+sdrja!Q28+kdreja!Q28+gdmangu!Q28+'bt sari'!Q28+kwanten!Q28+jrlegi!Q28+nswg!Q28+binangun!Q28+krya!Q28+adpla!Q28+maos!Q28+smpg!Q28+ksghn!Q28+kamla!Q28+'cilut-Prnt'!Q28+'cilteng-prnt'!Q28+'cilse-prnt'!Q28+'Kecamatan (25)'!Q27</f>
        <v>0</v>
      </c>
      <c r="R28" s="38">
        <f>dayeuhluhur!R28+wnrja!R28+Majenang!R28+cmggu!R28+krpucung!R28+ptmn!R28+cipari!R28+sdrja!R28+kdreja!R28+gdmangu!R28+'bt sari'!R28+kwanten!R28+jrlegi!R28+nswg!R28+binangun!R28+krya!R28+adpla!R28+maos!R28+smpg!R28+ksghn!R28+kamla!R28+'cilut-Prnt'!R28+'cilteng-prnt'!R28+'cilse-prnt'!R28+'Kecamatan (25)'!R27</f>
        <v>0</v>
      </c>
      <c r="S28" s="24"/>
      <c r="AD28" s="40" t="e">
        <f>CONCATENATE(#REF!,B29)</f>
        <v>#REF!</v>
      </c>
      <c r="AE28" s="40" t="e">
        <f t="shared" si="5"/>
        <v>#DIV/0!</v>
      </c>
    </row>
    <row r="29" spans="1:31" x14ac:dyDescent="0.35">
      <c r="A29" s="56">
        <v>19</v>
      </c>
      <c r="B29" s="57" t="s">
        <v>41</v>
      </c>
      <c r="C29" s="31">
        <f>dayeuhluhur!C29+wnrja!C29+Majenang!C29+cmggu!C29+krpucung!C29+ptmn!C29+cipari!C29+sdrja!C29+kdreja!C29+gdmangu!C29+'bt sari'!C29+kwanten!C29+jrlegi!C29+nswg!C29+binangun!C29+krya!C29+adpla!C29+maos!C29+smpg!C29+ksghn!C29+kamla!C29+'cilut-Prnt'!C29+'cilteng-prnt'!C29+'cilse-prnt'!C29+'Kecamatan (25)'!C28</f>
        <v>0</v>
      </c>
      <c r="D29" s="31">
        <f>dayeuhluhur!D29+wnrja!D29+Majenang!D29+cmggu!D29+krpucung!D29+ptmn!D29+cipari!D29+sdrja!D29+kdreja!D29+gdmangu!D29+'bt sari'!D29+kwanten!D29+jrlegi!D29+nswg!D29+binangun!D29+krya!D29+adpla!D29+maos!D29+smpg!D29+ksghn!D29+kamla!D29+'cilut-Prnt'!D29+'cilteng-prnt'!D29+'cilse-prnt'!D29+'Kecamatan (25)'!D28</f>
        <v>0</v>
      </c>
      <c r="E29" s="31">
        <f>dayeuhluhur!E29+wnrja!E29+Majenang!E29+cmggu!E29+krpucung!E29+ptmn!E29+cipari!E29+sdrja!E29+kdreja!E29+gdmangu!E29+'bt sari'!E29+kwanten!E29+jrlegi!E29+nswg!E29+binangun!E29+krya!E29+adpla!E29+maos!E29+smpg!E29+ksghn!E29+kamla!E29+'cilut-Prnt'!E29+'cilteng-prnt'!E29+'cilse-prnt'!E29+'Kecamatan (25)'!E28</f>
        <v>0</v>
      </c>
      <c r="F29" s="31">
        <f>dayeuhluhur!F29+wnrja!F29+Majenang!F29+cmggu!F29+krpucung!F29+ptmn!F29+cipari!F29+sdrja!F29+kdreja!F29+gdmangu!F29+'bt sari'!F29+kwanten!F29+jrlegi!F29+nswg!F29+binangun!F29+krya!F29+adpla!F29+maos!F29+smpg!F29+ksghn!F29+kamla!F29+'cilut-Prnt'!F29+'cilteng-prnt'!F29+'cilse-prnt'!F29+'Kecamatan (25)'!F28</f>
        <v>0</v>
      </c>
      <c r="G29" s="31">
        <f t="shared" si="4"/>
        <v>0</v>
      </c>
      <c r="H29" s="31">
        <f>dayeuhluhur!H29+wnrja!H29+Majenang!H29+cmggu!H29+krpucung!H29+ptmn!H29+cipari!H29+sdrja!H29+kdreja!H29+gdmangu!H29+'bt sari'!H29+kwanten!H29+jrlegi!H29+nswg!H29+binangun!H29+krya!H29+adpla!H29+maos!H29+smpg!H29+ksghn!H29+kamla!H29+'cilut-Prnt'!H29+'cilteng-prnt'!H29+'cilse-prnt'!H29+'Kecamatan (25)'!H28</f>
        <v>0</v>
      </c>
      <c r="I29" s="31">
        <f>dayeuhluhur!I29+wnrja!I29+Majenang!I29+cmggu!I29+krpucung!I29+ptmn!I29+cipari!I29+sdrja!I29+kdreja!I29+gdmangu!I29+'bt sari'!I29+kwanten!I29+jrlegi!I29+nswg!I29+binangun!I29+krya!I29+adpla!I29+maos!I29+smpg!I29+ksghn!I29+kamla!I29+'cilut-Prnt'!I29+'cilteng-prnt'!I29+'cilse-prnt'!I29+'Kecamatan (25)'!I28</f>
        <v>0</v>
      </c>
      <c r="J29" s="31">
        <f>dayeuhluhur!J29+wnrja!J29+Majenang!J29+cmggu!J29+krpucung!J29+ptmn!J29+cipari!J29+sdrja!J29+kdreja!J29+gdmangu!J29+'bt sari'!J29+kwanten!J29+jrlegi!J29+nswg!J29+binangun!J29+krya!J29+adpla!J29+maos!J29+smpg!J29+ksghn!J29+kamla!J29+'cilut-Prnt'!J29+'cilteng-prnt'!J29+'cilse-prnt'!J29+'Kecamatan (25)'!J28</f>
        <v>0</v>
      </c>
      <c r="K29" s="31">
        <f>dayeuhluhur!K29+wnrja!K29+Majenang!K29+cmggu!K29+krpucung!K29+ptmn!K29+cipari!K29+sdrja!K29+kdreja!K29+gdmangu!K29+'bt sari'!K29+kwanten!K29+jrlegi!K29+nswg!K29+binangun!K29+krya!K29+adpla!K29+maos!K29+smpg!K29+ksghn!K29+kamla!K29+'cilut-Prnt'!K29+'cilteng-prnt'!K29+'cilse-prnt'!K29+'Kecamatan (25)'!K28</f>
        <v>0</v>
      </c>
      <c r="L29" s="31">
        <f>dayeuhluhur!L29+wnrja!L29+Majenang!L29+cmggu!L29+krpucung!L29+ptmn!L29+cipari!L29+sdrja!L29+kdreja!L29+gdmangu!L29+'bt sari'!L29+kwanten!L29+jrlegi!L29+nswg!L29+binangun!L29+krya!L29+adpla!L29+maos!L29+smpg!L29+ksghn!L29+kamla!L29+'cilut-Prnt'!L29+'cilteng-prnt'!L29+'cilse-prnt'!L29+'Kecamatan (25)'!L28</f>
        <v>0</v>
      </c>
      <c r="M29" s="31"/>
      <c r="N29" s="31">
        <f>dayeuhluhur!N29+wnrja!N29+Majenang!N29+cmggu!N29+krpucung!N29+ptmn!N29+cipari!N29+sdrja!N29+kdreja!N29+gdmangu!N29+'bt sari'!N29+kwanten!N29+jrlegi!N29+nswg!N29+binangun!N29+krya!N29+adpla!N29+maos!N29+smpg!N29+ksghn!N29+kamla!N29+'cilut-Prnt'!N29+'cilteng-prnt'!N29+'cilse-prnt'!N29+'Kecamatan (25)'!N28</f>
        <v>0</v>
      </c>
      <c r="O29" s="31">
        <f>dayeuhluhur!O29+wnrja!O29+Majenang!O29+cmggu!O29+krpucung!O29+ptmn!O29+cipari!O29+sdrja!O29+kdreja!O29+gdmangu!O29+'bt sari'!O29+kwanten!O29+jrlegi!O29+nswg!O29+binangun!O29+krya!O29+adpla!O29+maos!O29+smpg!O29+ksghn!O29+kamla!O29+'cilut-Prnt'!O29+'cilteng-prnt'!O29+'cilse-prnt'!O29+'Kecamatan (25)'!O28</f>
        <v>0</v>
      </c>
      <c r="P29" s="24" t="s">
        <v>79</v>
      </c>
      <c r="Q29" s="38">
        <f>dayeuhluhur!Q29+wnrja!Q29+Majenang!Q29+cmggu!Q29+krpucung!Q29+ptmn!Q29+cipari!Q29+sdrja!Q29+kdreja!Q29+gdmangu!Q29+'bt sari'!Q29+kwanten!Q29+jrlegi!Q29+nswg!Q29+binangun!Q29+krya!Q29+adpla!Q29+maos!Q29+smpg!Q29+ksghn!Q29+kamla!Q29+'cilut-Prnt'!Q29+'cilteng-prnt'!Q29+'cilse-prnt'!Q29+'Kecamatan (25)'!Q28</f>
        <v>0</v>
      </c>
      <c r="R29" s="38">
        <f>dayeuhluhur!R29+wnrja!R29+Majenang!R29+cmggu!R29+krpucung!R29+ptmn!R29+cipari!R29+sdrja!R29+kdreja!R29+gdmangu!R29+'bt sari'!R29+kwanten!R29+jrlegi!R29+nswg!R29+binangun!R29+krya!R29+adpla!R29+maos!R29+smpg!R29+ksghn!R29+kamla!R29+'cilut-Prnt'!R29+'cilteng-prnt'!R29+'cilse-prnt'!R29+'Kecamatan (25)'!R28</f>
        <v>0</v>
      </c>
      <c r="S29" s="24"/>
      <c r="AD29" s="40" t="e">
        <f>CONCATENATE(#REF!,B30)</f>
        <v>#REF!</v>
      </c>
      <c r="AE29" s="40" t="e">
        <f t="shared" si="5"/>
        <v>#DIV/0!</v>
      </c>
    </row>
    <row r="30" spans="1:31" x14ac:dyDescent="0.35">
      <c r="A30" s="56">
        <v>20</v>
      </c>
      <c r="B30" s="57" t="s">
        <v>42</v>
      </c>
      <c r="C30" s="31">
        <f>dayeuhluhur!C30+wnrja!C30+Majenang!C30+cmggu!C30+krpucung!C30+ptmn!C30+cipari!C30+sdrja!C30+kdreja!C30+gdmangu!C30+'bt sari'!C30+kwanten!C30+jrlegi!C30+nswg!C30+binangun!C30+krya!C30+adpla!C30+maos!C30+smpg!C30+ksghn!C30+kamla!C30+'cilut-Prnt'!C30+'cilteng-prnt'!C30+'cilse-prnt'!C30+'Kecamatan (25)'!C29</f>
        <v>0</v>
      </c>
      <c r="D30" s="31">
        <f>dayeuhluhur!D30+wnrja!D30+Majenang!D30+cmggu!D30+krpucung!D30+ptmn!D30+cipari!D30+sdrja!D30+kdreja!D30+gdmangu!D30+'bt sari'!D30+kwanten!D30+jrlegi!D30+nswg!D30+binangun!D30+krya!D30+adpla!D30+maos!D30+smpg!D30+ksghn!D30+kamla!D30+'cilut-Prnt'!D30+'cilteng-prnt'!D30+'cilse-prnt'!D30+'Kecamatan (25)'!D29</f>
        <v>0</v>
      </c>
      <c r="E30" s="31">
        <f>dayeuhluhur!E30+wnrja!E30+Majenang!E30+cmggu!E30+krpucung!E30+ptmn!E30+cipari!E30+sdrja!E30+kdreja!E30+gdmangu!E30+'bt sari'!E30+kwanten!E30+jrlegi!E30+nswg!E30+binangun!E30+krya!E30+adpla!E30+maos!E30+smpg!E30+ksghn!E30+kamla!E30+'cilut-Prnt'!E30+'cilteng-prnt'!E30+'cilse-prnt'!E30+'Kecamatan (25)'!E29</f>
        <v>0</v>
      </c>
      <c r="F30" s="31">
        <f>dayeuhluhur!F30+wnrja!F30+Majenang!F30+cmggu!F30+krpucung!F30+ptmn!F30+cipari!F30+sdrja!F30+kdreja!F30+gdmangu!F30+'bt sari'!F30+kwanten!F30+jrlegi!F30+nswg!F30+binangun!F30+krya!F30+adpla!F30+maos!F30+smpg!F30+ksghn!F30+kamla!F30+'cilut-Prnt'!F30+'cilteng-prnt'!F30+'cilse-prnt'!F30+'Kecamatan (25)'!F29</f>
        <v>0</v>
      </c>
      <c r="G30" s="31">
        <f t="shared" si="4"/>
        <v>0</v>
      </c>
      <c r="H30" s="31">
        <f>dayeuhluhur!H30+wnrja!H30+Majenang!H30+cmggu!H30+krpucung!H30+ptmn!H30+cipari!H30+sdrja!H30+kdreja!H30+gdmangu!H30+'bt sari'!H30+kwanten!H30+jrlegi!H30+nswg!H30+binangun!H30+krya!H30+adpla!H30+maos!H30+smpg!H30+ksghn!H30+kamla!H30+'cilut-Prnt'!H30+'cilteng-prnt'!H30+'cilse-prnt'!H30+'Kecamatan (25)'!H29</f>
        <v>0</v>
      </c>
      <c r="I30" s="31">
        <f>dayeuhluhur!I30+wnrja!I30+Majenang!I30+cmggu!I30+krpucung!I30+ptmn!I30+cipari!I30+sdrja!I30+kdreja!I30+gdmangu!I30+'bt sari'!I30+kwanten!I30+jrlegi!I30+nswg!I30+binangun!I30+krya!I30+adpla!I30+maos!I30+smpg!I30+ksghn!I30+kamla!I30+'cilut-Prnt'!I30+'cilteng-prnt'!I30+'cilse-prnt'!I30+'Kecamatan (25)'!I29</f>
        <v>0</v>
      </c>
      <c r="J30" s="31">
        <f>dayeuhluhur!J30+wnrja!J30+Majenang!J30+cmggu!J30+krpucung!J30+ptmn!J30+cipari!J30+sdrja!J30+kdreja!J30+gdmangu!J30+'bt sari'!J30+kwanten!J30+jrlegi!J30+nswg!J30+binangun!J30+krya!J30+adpla!J30+maos!J30+smpg!J30+ksghn!J30+kamla!J30+'cilut-Prnt'!J30+'cilteng-prnt'!J30+'cilse-prnt'!J30+'Kecamatan (25)'!J29</f>
        <v>0</v>
      </c>
      <c r="K30" s="31">
        <f>dayeuhluhur!K30+wnrja!K30+Majenang!K30+cmggu!K30+krpucung!K30+ptmn!K30+cipari!K30+sdrja!K30+kdreja!K30+gdmangu!K30+'bt sari'!K30+kwanten!K30+jrlegi!K30+nswg!K30+binangun!K30+krya!K30+adpla!K30+maos!K30+smpg!K30+ksghn!K30+kamla!K30+'cilut-Prnt'!K30+'cilteng-prnt'!K30+'cilse-prnt'!K30+'Kecamatan (25)'!K29</f>
        <v>0</v>
      </c>
      <c r="L30" s="31">
        <f>dayeuhluhur!L30+wnrja!L30+Majenang!L30+cmggu!L30+krpucung!L30+ptmn!L30+cipari!L30+sdrja!L30+kdreja!L30+gdmangu!L30+'bt sari'!L30+kwanten!L30+jrlegi!L30+nswg!L30+binangun!L30+krya!L30+adpla!L30+maos!L30+smpg!L30+ksghn!L30+kamla!L30+'cilut-Prnt'!L30+'cilteng-prnt'!L30+'cilse-prnt'!L30+'Kecamatan (25)'!L29</f>
        <v>0</v>
      </c>
      <c r="M30" s="31"/>
      <c r="N30" s="31">
        <f>dayeuhluhur!N30+wnrja!N30+Majenang!N30+cmggu!N30+krpucung!N30+ptmn!N30+cipari!N30+sdrja!N30+kdreja!N30+gdmangu!N30+'bt sari'!N30+kwanten!N30+jrlegi!N30+nswg!N30+binangun!N30+krya!N30+adpla!N30+maos!N30+smpg!N30+ksghn!N30+kamla!N30+'cilut-Prnt'!N30+'cilteng-prnt'!N30+'cilse-prnt'!N30+'Kecamatan (25)'!N29</f>
        <v>0</v>
      </c>
      <c r="O30" s="31">
        <f>dayeuhluhur!O30+wnrja!O30+Majenang!O30+cmggu!O30+krpucung!O30+ptmn!O30+cipari!O30+sdrja!O30+kdreja!O30+gdmangu!O30+'bt sari'!O30+kwanten!O30+jrlegi!O30+nswg!O30+binangun!O30+krya!O30+adpla!O30+maos!O30+smpg!O30+ksghn!O30+kamla!O30+'cilut-Prnt'!O30+'cilteng-prnt'!O30+'cilse-prnt'!O30+'Kecamatan (25)'!O29</f>
        <v>0</v>
      </c>
      <c r="P30" s="24" t="s">
        <v>80</v>
      </c>
      <c r="Q30" s="38">
        <f>dayeuhluhur!Q30+wnrja!Q30+Majenang!Q30+cmggu!Q30+krpucung!Q30+ptmn!Q30+cipari!Q30+sdrja!Q30+kdreja!Q30+gdmangu!Q30+'bt sari'!Q30+kwanten!Q30+jrlegi!Q30+nswg!Q30+binangun!Q30+krya!Q30+adpla!Q30+maos!Q30+smpg!Q30+ksghn!Q30+kamla!Q30+'cilut-Prnt'!Q30+'cilteng-prnt'!Q30+'cilse-prnt'!Q30+'Kecamatan (25)'!Q29</f>
        <v>0</v>
      </c>
      <c r="R30" s="38">
        <f>dayeuhluhur!R30+wnrja!R30+Majenang!R30+cmggu!R30+krpucung!R30+ptmn!R30+cipari!R30+sdrja!R30+kdreja!R30+gdmangu!R30+'bt sari'!R30+kwanten!R30+jrlegi!R30+nswg!R30+binangun!R30+krya!R30+adpla!R30+maos!R30+smpg!R30+ksghn!R30+kamla!R30+'cilut-Prnt'!R30+'cilteng-prnt'!R30+'cilse-prnt'!R30+'Kecamatan (25)'!R29</f>
        <v>0</v>
      </c>
      <c r="S30" s="24"/>
      <c r="AD30" s="40" t="e">
        <f>CONCATENATE(#REF!,B31)</f>
        <v>#REF!</v>
      </c>
      <c r="AE30" s="40" t="e">
        <f t="shared" si="5"/>
        <v>#DIV/0!</v>
      </c>
    </row>
    <row r="31" spans="1:31" x14ac:dyDescent="0.35">
      <c r="A31" s="56">
        <v>21</v>
      </c>
      <c r="B31" s="57" t="s">
        <v>43</v>
      </c>
      <c r="C31" s="24">
        <f>dayeuhluhur!C31+wnrja!C31+Majenang!C31+cmggu!C31+krpucung!C31+ptmn!C31+cipari!C31+sdrja!C31+kdreja!C31+gdmangu!C31+'bt sari'!C31+kwanten!C31+jrlegi!C31+nswg!C31+binangun!C31+krya!C31+adpla!C31+maos!C31+smpg!C31+ksghn!C31+kamla!C31+'cilut-Prnt'!C31+'cilteng-prnt'!C31+'cilse-prnt'!C31+'Kecamatan (25)'!C30</f>
        <v>0</v>
      </c>
      <c r="D31" s="31">
        <f>dayeuhluhur!D31+wnrja!D31+Majenang!D31+cmggu!D31+krpucung!D31+ptmn!D31+cipari!D31+sdrja!D31+kdreja!D31+gdmangu!D31+'bt sari'!D31+kwanten!D31+jrlegi!D31+nswg!D31+binangun!D31+krya!D31+adpla!D31+maos!D31+smpg!D31+ksghn!D31+kamla!D31+'cilut-Prnt'!D31+'cilteng-prnt'!D31+'cilse-prnt'!D31+'Kecamatan (25)'!D30</f>
        <v>0</v>
      </c>
      <c r="E31" s="31">
        <f>dayeuhluhur!E31+wnrja!E31+Majenang!E31+cmggu!E31+krpucung!E31+ptmn!E31+cipari!E31+sdrja!E31+kdreja!E31+gdmangu!E31+'bt sari'!E31+kwanten!E31+jrlegi!E31+nswg!E31+binangun!E31+krya!E31+adpla!E31+maos!E31+smpg!E31+ksghn!E31+kamla!E31+'cilut-Prnt'!E31+'cilteng-prnt'!E31+'cilse-prnt'!E31+'Kecamatan (25)'!E30</f>
        <v>0</v>
      </c>
      <c r="F31" s="31">
        <f>dayeuhluhur!F31+wnrja!F31+Majenang!F31+cmggu!F31+krpucung!F31+ptmn!F31+cipari!F31+sdrja!F31+kdreja!F31+gdmangu!F31+'bt sari'!F31+kwanten!F31+jrlegi!F31+nswg!F31+binangun!F31+krya!F31+adpla!F31+maos!F31+smpg!F31+ksghn!F31+kamla!F31+'cilut-Prnt'!F31+'cilteng-prnt'!F31+'cilse-prnt'!F31+'Kecamatan (25)'!F30</f>
        <v>0</v>
      </c>
      <c r="G31" s="31">
        <f t="shared" si="4"/>
        <v>0</v>
      </c>
      <c r="H31" s="31">
        <f>dayeuhluhur!H31+wnrja!H31+Majenang!H31+cmggu!H31+krpucung!H31+ptmn!H31+cipari!H31+sdrja!H31+kdreja!H31+gdmangu!H31+'bt sari'!H31+kwanten!H31+jrlegi!H31+nswg!H31+binangun!H31+krya!H31+adpla!H31+maos!H31+smpg!H31+ksghn!H31+kamla!H31+'cilut-Prnt'!H31+'cilteng-prnt'!H31+'cilse-prnt'!H31+'Kecamatan (25)'!H30</f>
        <v>0</v>
      </c>
      <c r="I31" s="31">
        <f>dayeuhluhur!I31+wnrja!I31+Majenang!I31+cmggu!I31+krpucung!I31+ptmn!I31+cipari!I31+sdrja!I31+kdreja!I31+gdmangu!I31+'bt sari'!I31+kwanten!I31+jrlegi!I31+nswg!I31+binangun!I31+krya!I31+adpla!I31+maos!I31+smpg!I31+ksghn!I31+kamla!I31+'cilut-Prnt'!I31+'cilteng-prnt'!I31+'cilse-prnt'!I31+'Kecamatan (25)'!I30</f>
        <v>0</v>
      </c>
      <c r="J31" s="31">
        <f>dayeuhluhur!J31+wnrja!J31+Majenang!J31+cmggu!J31+krpucung!J31+ptmn!J31+cipari!J31+sdrja!J31+kdreja!J31+gdmangu!J31+'bt sari'!J31+kwanten!J31+jrlegi!J31+nswg!J31+binangun!J31+krya!J31+adpla!J31+maos!J31+smpg!J31+ksghn!J31+kamla!J31+'cilut-Prnt'!J31+'cilteng-prnt'!J31+'cilse-prnt'!J31+'Kecamatan (25)'!J30</f>
        <v>0</v>
      </c>
      <c r="K31" s="31">
        <f>dayeuhluhur!K31+wnrja!K31+Majenang!K31+cmggu!K31+krpucung!K31+ptmn!K31+cipari!K31+sdrja!K31+kdreja!K31+gdmangu!K31+'bt sari'!K31+kwanten!K31+jrlegi!K31+nswg!K31+binangun!K31+krya!K31+adpla!K31+maos!K31+smpg!K31+ksghn!K31+kamla!K31+'cilut-Prnt'!K31+'cilteng-prnt'!K31+'cilse-prnt'!K31+'Kecamatan (25)'!K30</f>
        <v>0</v>
      </c>
      <c r="L31" s="31">
        <f>dayeuhluhur!L31+wnrja!L31+Majenang!L31+cmggu!L31+krpucung!L31+ptmn!L31+cipari!L31+sdrja!L31+kdreja!L31+gdmangu!L31+'bt sari'!L31+kwanten!L31+jrlegi!L31+nswg!L31+binangun!L31+krya!L31+adpla!L31+maos!L31+smpg!L31+ksghn!L31+kamla!L31+'cilut-Prnt'!L31+'cilteng-prnt'!L31+'cilse-prnt'!L31+'Kecamatan (25)'!L30</f>
        <v>0</v>
      </c>
      <c r="M31" s="31"/>
      <c r="N31" s="31">
        <f>dayeuhluhur!N31+wnrja!N31+Majenang!N31+cmggu!N31+krpucung!N31+ptmn!N31+cipari!N31+sdrja!N31+kdreja!N31+gdmangu!N31+'bt sari'!N31+kwanten!N31+jrlegi!N31+nswg!N31+binangun!N31+krya!N31+adpla!N31+maos!N31+smpg!N31+ksghn!N31+kamla!N31+'cilut-Prnt'!N31+'cilteng-prnt'!N31+'cilse-prnt'!N31+'Kecamatan (25)'!N30</f>
        <v>0</v>
      </c>
      <c r="O31" s="31">
        <f>dayeuhluhur!O31+wnrja!O31+Majenang!O31+cmggu!O31+krpucung!O31+ptmn!O31+cipari!O31+sdrja!O31+kdreja!O31+gdmangu!O31+'bt sari'!O31+kwanten!O31+jrlegi!O31+nswg!O31+binangun!O31+krya!O31+adpla!O31+maos!O31+smpg!O31+ksghn!O31+kamla!O31+'cilut-Prnt'!O31+'cilteng-prnt'!O31+'cilse-prnt'!O31+'Kecamatan (25)'!O30</f>
        <v>0</v>
      </c>
      <c r="P31" s="24" t="s">
        <v>69</v>
      </c>
      <c r="Q31" s="38">
        <f>dayeuhluhur!Q31+wnrja!Q31+Majenang!Q31+cmggu!Q31+krpucung!Q31+ptmn!Q31+cipari!Q31+sdrja!Q31+kdreja!Q31+gdmangu!Q31+'bt sari'!Q31+kwanten!Q31+jrlegi!Q31+nswg!Q31+binangun!Q31+krya!Q31+adpla!Q31+maos!Q31+smpg!Q31+ksghn!Q31+kamla!Q31+'cilut-Prnt'!Q31+'cilteng-prnt'!Q31+'cilse-prnt'!Q31+'Kecamatan (25)'!Q30</f>
        <v>0</v>
      </c>
      <c r="R31" s="38">
        <f>dayeuhluhur!R31+wnrja!R31+Majenang!R31+cmggu!R31+krpucung!R31+ptmn!R31+cipari!R31+sdrja!R31+kdreja!R31+gdmangu!R31+'bt sari'!R31+kwanten!R31+jrlegi!R31+nswg!R31+binangun!R31+krya!R31+adpla!R31+maos!R31+smpg!R31+ksghn!R31+kamla!R31+'cilut-Prnt'!R31+'cilteng-prnt'!R31+'cilse-prnt'!R31+'Kecamatan (25)'!R30</f>
        <v>0</v>
      </c>
      <c r="S31" s="24"/>
      <c r="AD31" s="40" t="e">
        <f>CONCATENATE(#REF!,B32)</f>
        <v>#REF!</v>
      </c>
      <c r="AE31" s="40" t="e">
        <f t="shared" si="5"/>
        <v>#DIV/0!</v>
      </c>
    </row>
    <row r="32" spans="1:31" x14ac:dyDescent="0.35">
      <c r="A32" s="56">
        <v>22</v>
      </c>
      <c r="B32" s="57" t="s">
        <v>44</v>
      </c>
      <c r="C32" s="24">
        <f>dayeuhluhur!C32+wnrja!C32+Majenang!C32+cmggu!C32+krpucung!C32+ptmn!C32+cipari!C32+sdrja!C32+kdreja!C32+gdmangu!C32+'bt sari'!C32+kwanten!C32+jrlegi!C32+nswg!C32+binangun!C32+krya!C32+adpla!C32+maos!C32+smpg!C32+ksghn!C32+kamla!C32+'cilut-Prnt'!C32+'cilteng-prnt'!C32+'cilse-prnt'!C32+'Kecamatan (25)'!C31</f>
        <v>0</v>
      </c>
      <c r="D32" s="31">
        <f>dayeuhluhur!D32+wnrja!D32+Majenang!D32+cmggu!D32+krpucung!D32+ptmn!D32+cipari!D32+sdrja!D32+kdreja!D32+gdmangu!D32+'bt sari'!D32+kwanten!D32+jrlegi!D32+nswg!D32+binangun!D32+krya!D32+adpla!D32+maos!D32+smpg!D32+ksghn!D32+kamla!D32+'cilut-Prnt'!D32+'cilteng-prnt'!D32+'cilse-prnt'!D32+'Kecamatan (25)'!D31</f>
        <v>0</v>
      </c>
      <c r="E32" s="31">
        <f>dayeuhluhur!E32+wnrja!E32+Majenang!E32+cmggu!E32+krpucung!E32+ptmn!E32+cipari!E32+sdrja!E32+kdreja!E32+gdmangu!E32+'bt sari'!E32+kwanten!E32+jrlegi!E32+nswg!E32+binangun!E32+krya!E32+adpla!E32+maos!E32+smpg!E32+ksghn!E32+kamla!E32+'cilut-Prnt'!E32+'cilteng-prnt'!E32+'cilse-prnt'!E32+'Kecamatan (25)'!E31</f>
        <v>0</v>
      </c>
      <c r="F32" s="31">
        <f>dayeuhluhur!F32+wnrja!F32+Majenang!F32+cmggu!F32+krpucung!F32+ptmn!F32+cipari!F32+sdrja!F32+kdreja!F32+gdmangu!F32+'bt sari'!F32+kwanten!F32+jrlegi!F32+nswg!F32+binangun!F32+krya!F32+adpla!F32+maos!F32+smpg!F32+ksghn!F32+kamla!F32+'cilut-Prnt'!F32+'cilteng-prnt'!F32+'cilse-prnt'!F32+'Kecamatan (25)'!F31</f>
        <v>0</v>
      </c>
      <c r="G32" s="31">
        <f t="shared" si="4"/>
        <v>0</v>
      </c>
      <c r="H32" s="31">
        <f>dayeuhluhur!H32+wnrja!H32+Majenang!H32+cmggu!H32+krpucung!H32+ptmn!H32+cipari!H32+sdrja!H32+kdreja!H32+gdmangu!H32+'bt sari'!H32+kwanten!H32+jrlegi!H32+nswg!H32+binangun!H32+krya!H32+adpla!H32+maos!H32+smpg!H32+ksghn!H32+kamla!H32+'cilut-Prnt'!H32+'cilteng-prnt'!H32+'cilse-prnt'!H32+'Kecamatan (25)'!H31</f>
        <v>0</v>
      </c>
      <c r="I32" s="31">
        <f>dayeuhluhur!I32+wnrja!I32+Majenang!I32+cmggu!I32+krpucung!I32+ptmn!I32+cipari!I32+sdrja!I32+kdreja!I32+gdmangu!I32+'bt sari'!I32+kwanten!I32+jrlegi!I32+nswg!I32+binangun!I32+krya!I32+adpla!I32+maos!I32+smpg!I32+ksghn!I32+kamla!I32+'cilut-Prnt'!I32+'cilteng-prnt'!I32+'cilse-prnt'!I32+'Kecamatan (25)'!I31</f>
        <v>0</v>
      </c>
      <c r="J32" s="31">
        <f>dayeuhluhur!J32+wnrja!J32+Majenang!J32+cmggu!J32+krpucung!J32+ptmn!J32+cipari!J32+sdrja!J32+kdreja!J32+gdmangu!J32+'bt sari'!J32+kwanten!J32+jrlegi!J32+nswg!J32+binangun!J32+krya!J32+adpla!J32+maos!J32+smpg!J32+ksghn!J32+kamla!J32+'cilut-Prnt'!J32+'cilteng-prnt'!J32+'cilse-prnt'!J32+'Kecamatan (25)'!J31</f>
        <v>0</v>
      </c>
      <c r="K32" s="31">
        <f>dayeuhluhur!K32+wnrja!K32+Majenang!K32+cmggu!K32+krpucung!K32+ptmn!K32+cipari!K32+sdrja!K32+kdreja!K32+gdmangu!K32+'bt sari'!K32+kwanten!K32+jrlegi!K32+nswg!K32+binangun!K32+krya!K32+adpla!K32+maos!K32+smpg!K32+ksghn!K32+kamla!K32+'cilut-Prnt'!K32+'cilteng-prnt'!K32+'cilse-prnt'!K32+'Kecamatan (25)'!K31</f>
        <v>0</v>
      </c>
      <c r="L32" s="31">
        <f>dayeuhluhur!L32+wnrja!L32+Majenang!L32+cmggu!L32+krpucung!L32+ptmn!L32+cipari!L32+sdrja!L32+kdreja!L32+gdmangu!L32+'bt sari'!L32+kwanten!L32+jrlegi!L32+nswg!L32+binangun!L32+krya!L32+adpla!L32+maos!L32+smpg!L32+ksghn!L32+kamla!L32+'cilut-Prnt'!L32+'cilteng-prnt'!L32+'cilse-prnt'!L32+'Kecamatan (25)'!L31</f>
        <v>0</v>
      </c>
      <c r="M32" s="31"/>
      <c r="N32" s="31">
        <f>dayeuhluhur!N32+wnrja!N32+Majenang!N32+cmggu!N32+krpucung!N32+ptmn!N32+cipari!N32+sdrja!N32+kdreja!N32+gdmangu!N32+'bt sari'!N32+kwanten!N32+jrlegi!N32+nswg!N32+binangun!N32+krya!N32+adpla!N32+maos!N32+smpg!N32+ksghn!N32+kamla!N32+'cilut-Prnt'!N32+'cilteng-prnt'!N32+'cilse-prnt'!N32+'Kecamatan (25)'!N31</f>
        <v>0</v>
      </c>
      <c r="O32" s="31">
        <f>dayeuhluhur!O32+wnrja!O32+Majenang!O32+cmggu!O32+krpucung!O32+ptmn!O32+cipari!O32+sdrja!O32+kdreja!O32+gdmangu!O32+'bt sari'!O32+kwanten!O32+jrlegi!O32+nswg!O32+binangun!O32+krya!O32+adpla!O32+maos!O32+smpg!O32+ksghn!O32+kamla!O32+'cilut-Prnt'!O32+'cilteng-prnt'!O32+'cilse-prnt'!O32+'Kecamatan (25)'!O31</f>
        <v>0</v>
      </c>
      <c r="P32" s="24" t="s">
        <v>81</v>
      </c>
      <c r="Q32" s="38">
        <f>dayeuhluhur!Q32+wnrja!Q32+Majenang!Q32+cmggu!Q32+krpucung!Q32+ptmn!Q32+cipari!Q32+sdrja!Q32+kdreja!Q32+gdmangu!Q32+'bt sari'!Q32+kwanten!Q32+jrlegi!Q32+nswg!Q32+binangun!Q32+krya!Q32+adpla!Q32+maos!Q32+smpg!Q32+ksghn!Q32+kamla!Q32+'cilut-Prnt'!Q32+'cilteng-prnt'!Q32+'cilse-prnt'!Q32+'Kecamatan (25)'!Q31</f>
        <v>0</v>
      </c>
      <c r="R32" s="38">
        <f>dayeuhluhur!R32+wnrja!R32+Majenang!R32+cmggu!R32+krpucung!R32+ptmn!R32+cipari!R32+sdrja!R32+kdreja!R32+gdmangu!R32+'bt sari'!R32+kwanten!R32+jrlegi!R32+nswg!R32+binangun!R32+krya!R32+adpla!R32+maos!R32+smpg!R32+ksghn!R32+kamla!R32+'cilut-Prnt'!R32+'cilteng-prnt'!R32+'cilse-prnt'!R32+'Kecamatan (25)'!R31</f>
        <v>0</v>
      </c>
      <c r="S32" s="24"/>
      <c r="W32" s="59"/>
      <c r="AD32" s="40" t="e">
        <f>CONCATENATE(#REF!,B33)</f>
        <v>#REF!</v>
      </c>
      <c r="AE32" s="40">
        <f t="shared" si="5"/>
        <v>195.13120017315393</v>
      </c>
    </row>
    <row r="33" spans="1:31" x14ac:dyDescent="0.35">
      <c r="A33" s="56">
        <v>23</v>
      </c>
      <c r="B33" s="57" t="s">
        <v>45</v>
      </c>
      <c r="C33" s="24">
        <f>dayeuhluhur!C33+wnrja!C33+Majenang!C33+cmggu!C33+krpucung!C33+ptmn!C33+cipari!C33+sdrja!C33+kdreja!C33+gdmangu!C33+'bt sari'!C33+kwanten!C33+jrlegi!C33+nswg!C33+binangun!C33+krya!C33+adpla!C33+maos!C33+smpg!C33+ksghn!C33+kamla!C33+'cilut-Prnt'!C33+'cilteng-prnt'!C33+'cilse-prnt'!C33+'Kecamatan (25)'!C32</f>
        <v>344.17</v>
      </c>
      <c r="D33" s="31">
        <f>dayeuhluhur!D33+wnrja!D33+Majenang!D33+cmggu!D33+krpucung!D33+ptmn!D33+cipari!D33+sdrja!D33+kdreja!D33+gdmangu!D33+'bt sari'!D33+kwanten!D33+jrlegi!D33+nswg!D33+binangun!D33+krya!D33+adpla!D33+maos!D33+smpg!D33+ksghn!D33+kamla!D33+'cilut-Prnt'!D33+'cilteng-prnt'!D33+'cilse-prnt'!D33+'Kecamatan (25)'!D32</f>
        <v>0</v>
      </c>
      <c r="E33" s="31">
        <f>dayeuhluhur!E33+wnrja!E33+Majenang!E33+cmggu!E33+krpucung!E33+ptmn!E33+cipari!E33+sdrja!E33+kdreja!E33+gdmangu!E33+'bt sari'!E33+kwanten!E33+jrlegi!E33+nswg!E33+binangun!E33+krya!E33+adpla!E33+maos!E33+smpg!E33+ksghn!E33+kamla!E33+'cilut-Prnt'!E33+'cilteng-prnt'!E33+'cilse-prnt'!E33+'Kecamatan (25)'!E32</f>
        <v>5.18</v>
      </c>
      <c r="F33" s="31">
        <f>dayeuhluhur!F33+wnrja!F33+Majenang!F33+cmggu!F33+krpucung!F33+ptmn!F33+cipari!F33+sdrja!F33+kdreja!F33+gdmangu!F33+'bt sari'!F33+kwanten!F33+jrlegi!F33+nswg!F33+binangun!F33+krya!F33+adpla!F33+maos!F33+smpg!F33+ksghn!F33+kamla!F33+'cilut-Prnt'!F33+'cilteng-prnt'!F33+'cilse-prnt'!F33+'Kecamatan (25)'!F32</f>
        <v>0</v>
      </c>
      <c r="G33" s="31">
        <f t="shared" si="4"/>
        <v>349.35</v>
      </c>
      <c r="H33" s="31">
        <f>dayeuhluhur!H33+wnrja!H33+Majenang!H33+cmggu!H33+krpucung!H33+ptmn!H33+cipari!H33+sdrja!H33+kdreja!H33+gdmangu!H33+'bt sari'!H33+kwanten!H33+jrlegi!H33+nswg!H33+binangun!H33+krya!H33+adpla!H33+maos!H33+smpg!H33+ksghn!H33+kamla!H33+'cilut-Prnt'!H33+'cilteng-prnt'!H33+'cilse-prnt'!H33+'Kecamatan (25)'!H32</f>
        <v>119.32000000000001</v>
      </c>
      <c r="I33" s="31">
        <f>dayeuhluhur!I33+wnrja!I33+Majenang!I33+cmggu!I33+krpucung!I33+ptmn!I33+cipari!I33+sdrja!I33+kdreja!I33+gdmangu!I33+'bt sari'!I33+kwanten!I33+jrlegi!I33+nswg!I33+binangun!I33+krya!I33+adpla!I33+maos!I33+smpg!I33+ksghn!I33+kamla!I33+'cilut-Prnt'!I33+'cilteng-prnt'!I33+'cilse-prnt'!I33+'Kecamatan (25)'!I32</f>
        <v>200.13000000000002</v>
      </c>
      <c r="J33" s="31">
        <f>dayeuhluhur!J33+wnrja!J33+Majenang!J33+cmggu!J33+krpucung!J33+ptmn!J33+cipari!J33+sdrja!J33+kdreja!J33+gdmangu!J33+'bt sari'!J33+kwanten!J33+jrlegi!J33+nswg!J33+binangun!J33+krya!J33+adpla!J33+maos!J33+smpg!J33+ksghn!J33+kamla!J33+'cilut-Prnt'!J33+'cilteng-prnt'!J33+'cilse-prnt'!J33+'Kecamatan (25)'!J32</f>
        <v>29.900000000000002</v>
      </c>
      <c r="K33" s="31">
        <f>dayeuhluhur!K33+wnrja!K33+Majenang!K33+cmggu!K33+krpucung!K33+ptmn!K33+cipari!K33+sdrja!K33+kdreja!K33+gdmangu!K33+'bt sari'!K33+kwanten!K33+jrlegi!K33+nswg!K33+binangun!K33+krya!K33+adpla!K33+maos!K33+smpg!K33+ksghn!K33+kamla!K33+'cilut-Prnt'!K33+'cilteng-prnt'!K33+'cilse-prnt'!K33+'Kecamatan (25)'!K32</f>
        <v>349.34999999999997</v>
      </c>
      <c r="L33" s="31">
        <f>dayeuhluhur!L33+wnrja!L33+Majenang!L33+cmggu!L33+krpucung!L33+ptmn!L33+cipari!L33+sdrja!L33+kdreja!L33+gdmangu!L33+'bt sari'!L33+kwanten!L33+jrlegi!L33+nswg!L33+binangun!L33+krya!L33+adpla!L33+maos!L33+smpg!L33+ksghn!L33+kamla!L33+'cilut-Prnt'!L33+'cilteng-prnt'!L33+'cilse-prnt'!L33+'Kecamatan (25)'!L32</f>
        <v>108184.64</v>
      </c>
      <c r="M33" s="31">
        <v>554.41999999999996</v>
      </c>
      <c r="N33" s="31">
        <f>dayeuhluhur!N33+wnrja!N33+Majenang!N33+cmggu!N33+krpucung!N33+ptmn!N33+cipari!N33+sdrja!N33+kdreja!N33+gdmangu!N33+'bt sari'!N33+kwanten!N33+jrlegi!N33+nswg!N33+binangun!N33+krya!N33+adpla!N33+maos!N33+smpg!N33+ksghn!N33+kamla!N33+'cilut-Prnt'!N33+'cilteng-prnt'!N33+'cilse-prnt'!N33+'Kecamatan (25)'!N32</f>
        <v>134542.52229999998</v>
      </c>
      <c r="O33" s="31">
        <f>N33/I33</f>
        <v>672.27563233897945</v>
      </c>
      <c r="P33" s="24" t="s">
        <v>81</v>
      </c>
      <c r="Q33" s="38">
        <f>dayeuhluhur!Q33+wnrja!Q33+Majenang!Q33+cmggu!Q33+krpucung!Q33+ptmn!Q33+cipari!Q33+sdrja!Q33+kdreja!Q33+gdmangu!Q33+'bt sari'!Q33+kwanten!Q33+jrlegi!Q33+nswg!Q33+binangun!Q33+krya!Q33+adpla!Q33+maos!Q33+smpg!Q33+ksghn!Q33+kamla!Q33+'cilut-Prnt'!Q33+'cilteng-prnt'!Q33+'cilse-prnt'!Q33+'Kecamatan (25)'!Q32</f>
        <v>1238</v>
      </c>
      <c r="R33" s="38">
        <f>dayeuhluhur!R33+wnrja!R33+Majenang!R33+cmggu!R33+krpucung!R33+ptmn!R33+cipari!R33+sdrja!R33+kdreja!R33+gdmangu!R33+'bt sari'!R33+kwanten!R33+jrlegi!R33+nswg!R33+binangun!R33+krya!R33+adpla!R33+maos!R33+smpg!R33+ksghn!R33+kamla!R33+'cilut-Prnt'!R33+'cilteng-prnt'!R33+'cilse-prnt'!R33+'Kecamatan (25)'!R32</f>
        <v>0</v>
      </c>
      <c r="S33" s="24"/>
      <c r="W33" s="59">
        <v>1300</v>
      </c>
      <c r="AD33" s="40" t="e">
        <f>CONCATENATE(#REF!,B34)</f>
        <v>#REF!</v>
      </c>
      <c r="AE33" s="40">
        <f t="shared" si="5"/>
        <v>56.190323167404351</v>
      </c>
    </row>
    <row r="34" spans="1:31" x14ac:dyDescent="0.35">
      <c r="A34" s="56">
        <v>24</v>
      </c>
      <c r="B34" s="57" t="s">
        <v>46</v>
      </c>
      <c r="C34" s="24">
        <f>dayeuhluhur!C34+wnrja!C34+Majenang!C34+cmggu!C34+krpucung!C34+ptmn!C34+cipari!C34+sdrja!C34+kdreja!C34+gdmangu!C34+'bt sari'!C34+kwanten!C34+jrlegi!C34+nswg!C34+binangun!C34+krya!C34+adpla!C34+maos!C34+smpg!C34+ksghn!C34+kamla!C34+'cilut-Prnt'!C34+'cilteng-prnt'!C34+'cilse-prnt'!C34+'Kecamatan (25)'!C33</f>
        <v>106.95</v>
      </c>
      <c r="D34" s="31">
        <f>dayeuhluhur!D34+wnrja!D34+Majenang!D34+cmggu!D34+krpucung!D34+ptmn!D34+cipari!D34+sdrja!D34+kdreja!D34+gdmangu!D34+'bt sari'!D34+kwanten!D34+jrlegi!D34+nswg!D34+binangun!D34+krya!D34+adpla!D34+maos!D34+smpg!D34+ksghn!D34+kamla!D34+'cilut-Prnt'!D34+'cilteng-prnt'!D34+'cilse-prnt'!D34+'Kecamatan (25)'!D33</f>
        <v>0</v>
      </c>
      <c r="E34" s="31">
        <f>dayeuhluhur!E34+wnrja!E34+Majenang!E34+cmggu!E34+krpucung!E34+ptmn!E34+cipari!E34+sdrja!E34+kdreja!E34+gdmangu!E34+'bt sari'!E34+kwanten!E34+jrlegi!E34+nswg!E34+binangun!E34+krya!E34+adpla!E34+maos!E34+smpg!E34+ksghn!E34+kamla!E34+'cilut-Prnt'!E34+'cilteng-prnt'!E34+'cilse-prnt'!E34+'Kecamatan (25)'!E33</f>
        <v>6.6</v>
      </c>
      <c r="F34" s="31">
        <f>dayeuhluhur!F34+wnrja!F34+Majenang!F34+cmggu!F34+krpucung!F34+ptmn!F34+cipari!F34+sdrja!F34+kdreja!F34+gdmangu!F34+'bt sari'!F34+kwanten!F34+jrlegi!F34+nswg!F34+binangun!F34+krya!F34+adpla!F34+maos!F34+smpg!F34+ksghn!F34+kamla!F34+'cilut-Prnt'!F34+'cilteng-prnt'!F34+'cilse-prnt'!F34+'Kecamatan (25)'!F33</f>
        <v>0.81</v>
      </c>
      <c r="G34" s="31">
        <f t="shared" si="4"/>
        <v>112.74</v>
      </c>
      <c r="H34" s="31">
        <f>dayeuhluhur!H34+wnrja!H34+Majenang!H34+cmggu!H34+krpucung!H34+ptmn!H34+cipari!H34+sdrja!H34+kdreja!H34+gdmangu!H34+'bt sari'!H34+kwanten!H34+jrlegi!H34+nswg!H34+binangun!H34+krya!H34+adpla!H34+maos!H34+smpg!H34+ksghn!H34+kamla!H34+'cilut-Prnt'!H34+'cilteng-prnt'!H34+'cilse-prnt'!H34+'Kecamatan (25)'!H33</f>
        <v>35.809999999999995</v>
      </c>
      <c r="I34" s="31">
        <f>dayeuhluhur!I34+wnrja!I34+Majenang!I34+cmggu!I34+krpucung!I34+ptmn!I34+cipari!I34+sdrja!I34+kdreja!I34+gdmangu!I34+'bt sari'!I34+kwanten!I34+jrlegi!I34+nswg!I34+binangun!I34+krya!I34+adpla!I34+maos!I34+smpg!I34+ksghn!I34+kamla!I34+'cilut-Prnt'!I34+'cilteng-prnt'!I34+'cilse-prnt'!I34+'Kecamatan (25)'!I33</f>
        <v>64.55</v>
      </c>
      <c r="J34" s="31">
        <f>dayeuhluhur!J34+wnrja!J34+Majenang!J34+cmggu!J34+krpucung!J34+ptmn!J34+cipari!J34+sdrja!J34+kdreja!J34+gdmangu!J34+'bt sari'!J34+kwanten!J34+jrlegi!J34+nswg!J34+binangun!J34+krya!J34+adpla!J34+maos!J34+smpg!J34+ksghn!J34+kamla!J34+'cilut-Prnt'!J34+'cilteng-prnt'!J34+'cilse-prnt'!J34+'Kecamatan (25)'!J33</f>
        <v>12.379999999999999</v>
      </c>
      <c r="K34" s="31">
        <f>dayeuhluhur!K34+wnrja!K34+Majenang!K34+cmggu!K34+krpucung!K34+ptmn!K34+cipari!K34+sdrja!K34+kdreja!K34+gdmangu!K34+'bt sari'!K34+kwanten!K34+jrlegi!K34+nswg!K34+binangun!K34+krya!K34+adpla!K34+maos!K34+smpg!K34+ksghn!K34+kamla!K34+'cilut-Prnt'!K34+'cilteng-prnt'!K34+'cilse-prnt'!K34+'Kecamatan (25)'!K33</f>
        <v>112.74</v>
      </c>
      <c r="L34" s="31">
        <f>dayeuhluhur!L34+wnrja!L34+Majenang!L34+cmggu!L34+krpucung!L34+ptmn!L34+cipari!L34+sdrja!L34+kdreja!L34+gdmangu!L34+'bt sari'!L34+kwanten!L34+jrlegi!L34+nswg!L34+binangun!L34+krya!L34+adpla!L34+maos!L34+smpg!L34+ksghn!L34+kamla!L34+'cilut-Prnt'!L34+'cilteng-prnt'!L34+'cilse-prnt'!L34+'Kecamatan (25)'!L33</f>
        <v>27802.41</v>
      </c>
      <c r="M34" s="31">
        <v>494.79</v>
      </c>
      <c r="N34" s="31">
        <f>dayeuhluhur!N34+wnrja!N34+Majenang!N34+cmggu!N34+krpucung!N34+ptmn!N34+cipari!N34+sdrja!N34+kdreja!N34+gdmangu!N34+'bt sari'!N34+kwanten!N34+jrlegi!N34+nswg!N34+binangun!N34+krya!N34+adpla!N34+maos!N34+smpg!N34+ksghn!N34+kamla!N34+'cilut-Prnt'!N34+'cilteng-prnt'!N34+'cilse-prnt'!N34+'Kecamatan (25)'!N33</f>
        <v>38573.18</v>
      </c>
      <c r="O34" s="31">
        <f>N34/I34</f>
        <v>597.57056545313708</v>
      </c>
      <c r="P34" s="24" t="s">
        <v>72</v>
      </c>
      <c r="Q34" s="38">
        <f>dayeuhluhur!Q34+wnrja!Q34+Majenang!Q34+cmggu!Q34+krpucung!Q34+ptmn!Q34+cipari!Q34+sdrja!Q34+kdreja!Q34+gdmangu!Q34+'bt sari'!Q34+kwanten!Q34+jrlegi!Q34+nswg!Q34+binangun!Q34+krya!Q34+adpla!Q34+maos!Q34+smpg!Q34+ksghn!Q34+kamla!Q34+'cilut-Prnt'!Q34+'cilteng-prnt'!Q34+'cilse-prnt'!Q34+'Kecamatan (25)'!Q33</f>
        <v>677</v>
      </c>
      <c r="R34" s="38">
        <f>dayeuhluhur!R34+wnrja!R34+Majenang!R34+cmggu!R34+krpucung!R34+ptmn!R34+cipari!R34+sdrja!R34+kdreja!R34+gdmangu!R34+'bt sari'!R34+kwanten!R34+jrlegi!R34+nswg!R34+binangun!R34+krya!R34+adpla!R34+maos!R34+smpg!R34+ksghn!R34+kamla!R34+'cilut-Prnt'!R34+'cilteng-prnt'!R34+'cilse-prnt'!R34+'Kecamatan (25)'!R33</f>
        <v>0</v>
      </c>
      <c r="S34" s="24"/>
      <c r="W34" s="40" t="s">
        <v>138</v>
      </c>
      <c r="AD34" s="40" t="e">
        <f>CONCATENATE(#REF!,B35)</f>
        <v>#REF!</v>
      </c>
      <c r="AE34" s="40" t="e">
        <f t="shared" si="5"/>
        <v>#DIV/0!</v>
      </c>
    </row>
    <row r="35" spans="1:31" x14ac:dyDescent="0.35">
      <c r="A35" s="56">
        <v>25</v>
      </c>
      <c r="B35" s="57" t="s">
        <v>47</v>
      </c>
      <c r="C35" s="24">
        <f>dayeuhluhur!C35+wnrja!C35+Majenang!C35+cmggu!C35+krpucung!C35+ptmn!C35+cipari!C35+sdrja!C35+kdreja!C35+gdmangu!C35+'bt sari'!C35+kwanten!C35+jrlegi!C35+nswg!C35+binangun!C35+krya!C35+adpla!C35+maos!C35+smpg!C35+ksghn!C35+kamla!C35+'cilut-Prnt'!C35+'cilteng-prnt'!C35+'cilse-prnt'!C35+'Kecamatan (25)'!C34</f>
        <v>0</v>
      </c>
      <c r="D35" s="31">
        <f>dayeuhluhur!D35+wnrja!D35+Majenang!D35+cmggu!D35+krpucung!D35+ptmn!D35+cipari!D35+sdrja!D35+kdreja!D35+gdmangu!D35+'bt sari'!D35+kwanten!D35+jrlegi!D35+nswg!D35+binangun!D35+krya!D35+adpla!D35+maos!D35+smpg!D35+ksghn!D35+kamla!D35+'cilut-Prnt'!D35+'cilteng-prnt'!D35+'cilse-prnt'!D35+'Kecamatan (25)'!D34</f>
        <v>0</v>
      </c>
      <c r="E35" s="31">
        <f>dayeuhluhur!E35+wnrja!E35+Majenang!E35+cmggu!E35+krpucung!E35+ptmn!E35+cipari!E35+sdrja!E35+kdreja!E35+gdmangu!E35+'bt sari'!E35+kwanten!E35+jrlegi!E35+nswg!E35+binangun!E35+krya!E35+adpla!E35+maos!E35+smpg!E35+ksghn!E35+kamla!E35+'cilut-Prnt'!E35+'cilteng-prnt'!E35+'cilse-prnt'!E35+'Kecamatan (25)'!E34</f>
        <v>0</v>
      </c>
      <c r="F35" s="31">
        <f>dayeuhluhur!F35+wnrja!F35+Majenang!F35+cmggu!F35+krpucung!F35+ptmn!F35+cipari!F35+sdrja!F35+kdreja!F35+gdmangu!F35+'bt sari'!F35+kwanten!F35+jrlegi!F35+nswg!F35+binangun!F35+krya!F35+adpla!F35+maos!F35+smpg!F35+ksghn!F35+kamla!F35+'cilut-Prnt'!F35+'cilteng-prnt'!F35+'cilse-prnt'!F35+'Kecamatan (25)'!F34</f>
        <v>0</v>
      </c>
      <c r="G35" s="31">
        <f t="shared" si="4"/>
        <v>0</v>
      </c>
      <c r="H35" s="31">
        <f>dayeuhluhur!H35+wnrja!H35+Majenang!H35+cmggu!H35+krpucung!H35+ptmn!H35+cipari!H35+sdrja!H35+kdreja!H35+gdmangu!H35+'bt sari'!H35+kwanten!H35+jrlegi!H35+nswg!H35+binangun!H35+krya!H35+adpla!H35+maos!H35+smpg!H35+ksghn!H35+kamla!H35+'cilut-Prnt'!H35+'cilteng-prnt'!H35+'cilse-prnt'!H35+'Kecamatan (25)'!H34</f>
        <v>0</v>
      </c>
      <c r="I35" s="31">
        <f>dayeuhluhur!I35+wnrja!I35+Majenang!I35+cmggu!I35+krpucung!I35+ptmn!I35+cipari!I35+sdrja!I35+kdreja!I35+gdmangu!I35+'bt sari'!I35+kwanten!I35+jrlegi!I35+nswg!I35+binangun!I35+krya!I35+adpla!I35+maos!I35+smpg!I35+ksghn!I35+kamla!I35+'cilut-Prnt'!I35+'cilteng-prnt'!I35+'cilse-prnt'!I35+'Kecamatan (25)'!I34</f>
        <v>0</v>
      </c>
      <c r="J35" s="105" t="s">
        <v>137</v>
      </c>
      <c r="K35" s="31">
        <f>dayeuhluhur!K35+wnrja!K35+Majenang!K35+cmggu!K35+krpucung!K35+ptmn!K35+cipari!K35+sdrja!K35+kdreja!K35+gdmangu!K35+'bt sari'!K35+kwanten!K35+jrlegi!K35+nswg!K35+binangun!K35+krya!K35+adpla!K35+maos!K35+smpg!K35+ksghn!K35+kamla!K35+'cilut-Prnt'!K35+'cilteng-prnt'!K35+'cilse-prnt'!K35+'Kecamatan (25)'!K34</f>
        <v>0</v>
      </c>
      <c r="L35" s="31">
        <f>dayeuhluhur!L35+wnrja!L35+Majenang!L35+cmggu!L35+krpucung!L35+ptmn!L35+cipari!L35+sdrja!L35+kdreja!L35+gdmangu!L35+'bt sari'!L35+kwanten!L35+jrlegi!L35+nswg!L35+binangun!L35+krya!L35+adpla!L35+maos!L35+smpg!L35+ksghn!L35+kamla!L35+'cilut-Prnt'!L35+'cilteng-prnt'!L35+'cilse-prnt'!L35+'Kecamatan (25)'!L34</f>
        <v>0</v>
      </c>
      <c r="M35" s="31"/>
      <c r="N35" s="31">
        <f>dayeuhluhur!N35+wnrja!N35+Majenang!N35+cmggu!N35+krpucung!N35+ptmn!N35+cipari!N35+sdrja!N35+kdreja!N35+gdmangu!N35+'bt sari'!N35+kwanten!N35+jrlegi!N35+nswg!N35+binangun!N35+krya!N35+adpla!N35+maos!N35+smpg!N35+ksghn!N35+kamla!N35+'cilut-Prnt'!N35+'cilteng-prnt'!N35+'cilse-prnt'!N35+'Kecamatan (25)'!N34</f>
        <v>0</v>
      </c>
      <c r="O35" s="31">
        <f>dayeuhluhur!O35+wnrja!O35+Majenang!O35+cmggu!O35+krpucung!O35+ptmn!O35+cipari!O35+sdrja!O35+kdreja!O35+gdmangu!O35+'bt sari'!O35+kwanten!O35+jrlegi!O35+nswg!O35+binangun!O35+krya!O35+adpla!O35+maos!O35+smpg!O35+ksghn!O35+kamla!O35+'cilut-Prnt'!O35+'cilteng-prnt'!O35+'cilse-prnt'!O35+'Kecamatan (25)'!O34</f>
        <v>0</v>
      </c>
      <c r="P35" s="24" t="s">
        <v>75</v>
      </c>
      <c r="Q35" s="38">
        <f>dayeuhluhur!Q35+wnrja!Q35+Majenang!Q35+cmggu!Q35+krpucung!Q35+ptmn!Q35+cipari!Q35+sdrja!Q35+kdreja!Q35+gdmangu!Q35+'bt sari'!Q35+kwanten!Q35+jrlegi!Q35+nswg!Q35+binangun!Q35+krya!Q35+adpla!Q35+maos!Q35+smpg!Q35+ksghn!Q35+kamla!Q35+'cilut-Prnt'!Q35+'cilteng-prnt'!Q35+'cilse-prnt'!Q35+'Kecamatan (25)'!Q34</f>
        <v>0</v>
      </c>
      <c r="R35" s="38">
        <f>dayeuhluhur!R35+wnrja!R35+Majenang!R35+cmggu!R35+krpucung!R35+ptmn!R35+cipari!R35+sdrja!R35+kdreja!R35+gdmangu!R35+'bt sari'!R35+kwanten!R35+jrlegi!R35+nswg!R35+binangun!R35+krya!R35+adpla!R35+maos!R35+smpg!R35+ksghn!R35+kamla!R35+'cilut-Prnt'!R35+'cilteng-prnt'!R35+'cilse-prnt'!R35+'Kecamatan (25)'!R34</f>
        <v>0</v>
      </c>
      <c r="S35" s="24"/>
      <c r="W35" s="59"/>
      <c r="AD35" s="40" t="e">
        <f>CONCATENATE(#REF!,B36)</f>
        <v>#REF!</v>
      </c>
      <c r="AE35" s="40">
        <f t="shared" si="5"/>
        <v>156.20337250894227</v>
      </c>
    </row>
    <row r="36" spans="1:31" x14ac:dyDescent="0.35">
      <c r="A36" s="56">
        <v>26</v>
      </c>
      <c r="B36" s="57" t="s">
        <v>48</v>
      </c>
      <c r="C36" s="31">
        <f>dayeuhluhur!C36+wnrja!C36+Majenang!C36+cmggu!C36+krpucung!C36+ptmn!C36+cipari!C36+sdrja!C36+kdreja!C36+gdmangu!C36+'bt sari'!C36+kwanten!C36+jrlegi!C36+nswg!C36+binangun!C36+krya!C36+adpla!C36+maos!C36+smpg!C36+ksghn!C36+kamla!C36+'cilut-Prnt'!C36+'cilteng-prnt'!C36+'cilse-prnt'!C36+'Kecamatan (25)'!C35</f>
        <v>1077.1500000000001</v>
      </c>
      <c r="D36" s="31">
        <f>dayeuhluhur!D36+wnrja!D36+Majenang!D36+cmggu!D36+krpucung!D36+ptmn!D36+cipari!D36+sdrja!D36+kdreja!D36+gdmangu!D36+'bt sari'!D36+kwanten!D36+jrlegi!D36+nswg!D36+binangun!D36+krya!D36+adpla!D36+maos!D36+smpg!D36+ksghn!D36+kamla!D36+'cilut-Prnt'!D36+'cilteng-prnt'!D36+'cilse-prnt'!D36+'Kecamatan (25)'!D35</f>
        <v>0</v>
      </c>
      <c r="E36" s="31">
        <f>dayeuhluhur!E36+wnrja!E36+Majenang!E36+cmggu!E36+krpucung!E36+ptmn!E36+cipari!E36+sdrja!E36+kdreja!E36+gdmangu!E36+'bt sari'!E36+kwanten!E36+jrlegi!E36+nswg!E36+binangun!E36+krya!E36+adpla!E36+maos!E36+smpg!E36+ksghn!E36+kamla!E36+'cilut-Prnt'!E36+'cilteng-prnt'!E36+'cilse-prnt'!E36+'Kecamatan (25)'!E35</f>
        <v>171</v>
      </c>
      <c r="F36" s="31">
        <f>dayeuhluhur!F36+wnrja!F36+Majenang!F36+cmggu!F36+krpucung!F36+ptmn!F36+cipari!F36+sdrja!F36+kdreja!F36+gdmangu!F36+'bt sari'!F36+kwanten!F36+jrlegi!F36+nswg!F36+binangun!F36+krya!F36+adpla!F36+maos!F36+smpg!F36+ksghn!F36+kamla!F36+'cilut-Prnt'!F36+'cilteng-prnt'!F36+'cilse-prnt'!F36+'Kecamatan (25)'!F35</f>
        <v>0.18</v>
      </c>
      <c r="G36" s="31">
        <f t="shared" si="4"/>
        <v>1247.97</v>
      </c>
      <c r="H36" s="31">
        <f>dayeuhluhur!H36+wnrja!H36+Majenang!H36+cmggu!H36+krpucung!H36+ptmn!H36+cipari!H36+sdrja!H36+kdreja!H36+gdmangu!H36+'bt sari'!H36+kwanten!H36+jrlegi!H36+nswg!H36+binangun!H36+krya!H36+adpla!H36+maos!H36+smpg!H36+ksghn!H36+kamla!H36+'cilut-Prnt'!H36+'cilteng-prnt'!H36+'cilse-prnt'!H36+'Kecamatan (25)'!H35</f>
        <v>995.27</v>
      </c>
      <c r="I36" s="31">
        <f>dayeuhluhur!I36+wnrja!I36+Majenang!I36+cmggu!I36+krpucung!I36+ptmn!I36+cipari!I36+sdrja!I36+kdreja!I36+gdmangu!I36+'bt sari'!I36+kwanten!I36+jrlegi!I36+nswg!I36+binangun!I36+krya!I36+adpla!I36+maos!I36+smpg!I36+ksghn!I36+kamla!I36+'cilut-Prnt'!I36+'cilteng-prnt'!I36+'cilse-prnt'!I36+'Kecamatan (25)'!I35</f>
        <v>250.20000000000002</v>
      </c>
      <c r="J36" s="31">
        <f>dayeuhluhur!J36+wnrja!J36+Majenang!J36+cmggu!J36+krpucung!J36+ptmn!J36+cipari!J36+sdrja!J36+kdreja!J36+gdmangu!J36+'bt sari'!J36+kwanten!J36+jrlegi!J36+nswg!J36+binangun!J36+krya!J36+adpla!J36+maos!J36+smpg!J36+ksghn!J36+kamla!J36+'cilut-Prnt'!J36+'cilteng-prnt'!J36+'cilse-prnt'!J36+'Kecamatan (25)'!J35</f>
        <v>2.5</v>
      </c>
      <c r="K36" s="31">
        <f>dayeuhluhur!K36+wnrja!K36+Majenang!K36+cmggu!K36+krpucung!K36+ptmn!K36+cipari!K36+sdrja!K36+kdreja!K36+gdmangu!K36+'bt sari'!K36+kwanten!K36+jrlegi!K36+nswg!K36+binangun!K36+krya!K36+adpla!K36+maos!K36+smpg!K36+ksghn!K36+kamla!K36+'cilut-Prnt'!K36+'cilteng-prnt'!K36+'cilse-prnt'!K36+'Kecamatan (25)'!K35</f>
        <v>1247.97</v>
      </c>
      <c r="L36" s="31">
        <f>dayeuhluhur!L36+wnrja!L36+Majenang!L36+cmggu!L36+krpucung!L36+ptmn!L36+cipari!L36+sdrja!L36+kdreja!L36+gdmangu!L36+'bt sari'!L36+kwanten!L36+jrlegi!L36+nswg!L36+binangun!L36+krya!L36+adpla!L36+maos!L36+smpg!L36+ksghn!L36+kamla!L36+'cilut-Prnt'!L36+'cilteng-prnt'!L36+'cilse-prnt'!L36+'Kecamatan (25)'!L35</f>
        <v>27512.1</v>
      </c>
      <c r="M36" s="31">
        <v>176.13</v>
      </c>
      <c r="N36" s="31">
        <f>dayeuhluhur!N36+wnrja!N36+Majenang!N36+cmggu!N36+krpucung!N36+ptmn!N36+cipari!N36+sdrja!N36+kdreja!N36+gdmangu!N36+'bt sari'!N36+kwanten!N36+jrlegi!N36+nswg!N36+binangun!N36+krya!N36+adpla!N36+maos!N36+smpg!N36+ksghn!N36+kamla!N36+'cilut-Prnt'!N36+'cilteng-prnt'!N36+'cilse-prnt'!N36+'Kecamatan (25)'!N35</f>
        <v>75127.509999999995</v>
      </c>
      <c r="O36" s="31">
        <f>N36/I36</f>
        <v>300.26982414068743</v>
      </c>
      <c r="P36" s="24" t="s">
        <v>72</v>
      </c>
      <c r="Q36" s="38">
        <f>dayeuhluhur!Q36+wnrja!Q36+Majenang!Q36+cmggu!Q36+krpucung!Q36+ptmn!Q36+cipari!Q36+sdrja!Q36+kdreja!Q36+gdmangu!Q36+'bt sari'!Q36+kwanten!Q36+jrlegi!Q36+nswg!Q36+binangun!Q36+krya!Q36+adpla!Q36+maos!Q36+smpg!Q36+ksghn!Q36+kamla!Q36+'cilut-Prnt'!Q36+'cilteng-prnt'!Q36+'cilse-prnt'!Q36+'Kecamatan (25)'!Q35</f>
        <v>1647</v>
      </c>
      <c r="R36" s="38">
        <f>dayeuhluhur!R36+wnrja!R36+Majenang!R36+cmggu!R36+krpucung!R36+ptmn!R36+cipari!R36+sdrja!R36+kdreja!R36+gdmangu!R36+'bt sari'!R36+kwanten!R36+jrlegi!R36+nswg!R36+binangun!R36+krya!R36+adpla!R36+maos!R36+smpg!R36+ksghn!R36+kamla!R36+'cilut-Prnt'!R36+'cilteng-prnt'!R36+'cilse-prnt'!R36+'Kecamatan (25)'!R35</f>
        <v>0</v>
      </c>
      <c r="S36" s="24"/>
      <c r="V36" s="40" t="s">
        <v>136</v>
      </c>
      <c r="W36" s="60"/>
      <c r="AD36" s="40" t="e">
        <f>CONCATENATE(#REF!,B37)</f>
        <v>#REF!</v>
      </c>
      <c r="AE36" s="40">
        <f t="shared" si="5"/>
        <v>0.75</v>
      </c>
    </row>
    <row r="37" spans="1:31" x14ac:dyDescent="0.35">
      <c r="A37" s="56">
        <v>27</v>
      </c>
      <c r="B37" s="57" t="s">
        <v>49</v>
      </c>
      <c r="C37" s="24">
        <f>dayeuhluhur!C37+wnrja!C37+Majenang!C37+cmggu!C37+krpucung!C37+ptmn!C37+cipari!C37+sdrja!C37+kdreja!C37+gdmangu!C37+'bt sari'!C37+kwanten!C37+jrlegi!C37+nswg!C37+binangun!C37+krya!C37+adpla!C37+maos!C37+smpg!C37+ksghn!C37+kamla!C37+'cilut-Prnt'!C37+'cilteng-prnt'!C37+'cilse-prnt'!C37+'Kecamatan (25)'!C36</f>
        <v>1</v>
      </c>
      <c r="D37" s="31">
        <f>dayeuhluhur!D37+wnrja!D37+Majenang!D37+cmggu!D37+krpucung!D37+ptmn!D37+cipari!D37+sdrja!D37+kdreja!D37+gdmangu!D37+'bt sari'!D37+kwanten!D37+jrlegi!D37+nswg!D37+binangun!D37+krya!D37+adpla!D37+maos!D37+smpg!D37+ksghn!D37+kamla!D37+'cilut-Prnt'!D37+'cilteng-prnt'!D37+'cilse-prnt'!D37+'Kecamatan (25)'!D36</f>
        <v>0</v>
      </c>
      <c r="E37" s="31">
        <f>dayeuhluhur!E37+wnrja!E37+Majenang!E37+cmggu!E37+krpucung!E37+ptmn!E37+cipari!E37+sdrja!E37+kdreja!E37+gdmangu!E37+'bt sari'!E37+kwanten!E37+jrlegi!E37+nswg!E37+binangun!E37+krya!E37+adpla!E37+maos!E37+smpg!E37+ksghn!E37+kamla!E37+'cilut-Prnt'!E37+'cilteng-prnt'!E37+'cilse-prnt'!E37+'Kecamatan (25)'!E36</f>
        <v>0</v>
      </c>
      <c r="F37" s="31">
        <f>dayeuhluhur!F37+wnrja!F37+Majenang!F37+cmggu!F37+krpucung!F37+ptmn!F37+cipari!F37+sdrja!F37+kdreja!F37+gdmangu!F37+'bt sari'!F37+kwanten!F37+jrlegi!F37+nswg!F37+binangun!F37+krya!F37+adpla!F37+maos!F37+smpg!F37+ksghn!F37+kamla!F37+'cilut-Prnt'!F37+'cilteng-prnt'!F37+'cilse-prnt'!F37+'Kecamatan (25)'!F36</f>
        <v>0</v>
      </c>
      <c r="G37" s="31">
        <f t="shared" si="4"/>
        <v>1</v>
      </c>
      <c r="H37" s="31">
        <f>dayeuhluhur!H37+wnrja!H37+Majenang!H37+cmggu!H37+krpucung!H37+ptmn!H37+cipari!H37+sdrja!H37+kdreja!H37+gdmangu!H37+'bt sari'!H37+kwanten!H37+jrlegi!H37+nswg!H37+binangun!H37+krya!H37+adpla!H37+maos!H37+smpg!H37+ksghn!H37+kamla!H37+'cilut-Prnt'!H37+'cilteng-prnt'!H37+'cilse-prnt'!H37+'Kecamatan (25)'!H36</f>
        <v>0</v>
      </c>
      <c r="I37" s="31">
        <f>dayeuhluhur!I37+wnrja!I37+Majenang!I37+cmggu!I37+krpucung!I37+ptmn!I37+cipari!I37+sdrja!I37+kdreja!I37+gdmangu!I37+'bt sari'!I37+kwanten!I37+jrlegi!I37+nswg!I37+binangun!I37+krya!I37+adpla!I37+maos!I37+smpg!I37+ksghn!I37+kamla!I37+'cilut-Prnt'!I37+'cilteng-prnt'!I37+'cilse-prnt'!I37+'Kecamatan (25)'!I36</f>
        <v>0.75</v>
      </c>
      <c r="J37" s="31">
        <f>dayeuhluhur!J37+wnrja!J37+Majenang!J37+cmggu!J37+krpucung!J37+ptmn!J37+cipari!J37+sdrja!J37+kdreja!J37+gdmangu!J37+'bt sari'!J37+kwanten!J37+jrlegi!J37+nswg!J37+binangun!J37+krya!J37+adpla!J37+maos!J37+smpg!J37+ksghn!J37+kamla!J37+'cilut-Prnt'!J37+'cilteng-prnt'!J37+'cilse-prnt'!J37+'Kecamatan (25)'!J36</f>
        <v>0.25</v>
      </c>
      <c r="K37" s="31">
        <f>dayeuhluhur!K37+wnrja!K37+Majenang!K37+cmggu!K37+krpucung!K37+ptmn!K37+cipari!K37+sdrja!K37+kdreja!K37+gdmangu!K37+'bt sari'!K37+kwanten!K37+jrlegi!K37+nswg!K37+binangun!K37+krya!K37+adpla!K37+maos!K37+smpg!K37+ksghn!K37+kamla!K37+'cilut-Prnt'!K37+'cilteng-prnt'!K37+'cilse-prnt'!K37+'Kecamatan (25)'!K36</f>
        <v>1</v>
      </c>
      <c r="L37" s="31">
        <f>dayeuhluhur!L37+wnrja!L37+Majenang!L37+cmggu!L37+krpucung!L37+ptmn!L37+cipari!L37+sdrja!L37+kdreja!L37+gdmangu!L37+'bt sari'!L37+kwanten!L37+jrlegi!L37+nswg!L37+binangun!L37+krya!L37+adpla!L37+maos!L37+smpg!L37+ksghn!L37+kamla!L37+'cilut-Prnt'!L37+'cilteng-prnt'!L37+'cilse-prnt'!L37+'Kecamatan (25)'!L36</f>
        <v>296.25</v>
      </c>
      <c r="M37" s="31">
        <v>395</v>
      </c>
      <c r="N37" s="31">
        <f>dayeuhluhur!N37+wnrja!N37+Majenang!N37+cmggu!N37+krpucung!N37+ptmn!N37+cipari!N37+sdrja!N37+kdreja!N37+gdmangu!N37+'bt sari'!N37+kwanten!N37+jrlegi!N37+nswg!N37+binangun!N37+krya!N37+adpla!N37+maos!N37+smpg!N37+ksghn!N37+kamla!N37+'cilut-Prnt'!N37+'cilteng-prnt'!N37+'cilse-prnt'!N37+'Kecamatan (25)'!N36</f>
        <v>178.3125</v>
      </c>
      <c r="O37" s="31">
        <f>dayeuhluhur!O37+wnrja!O37+Majenang!O37+cmggu!O37+krpucung!O37+ptmn!O37+cipari!O37+sdrja!O37+kdreja!O37+gdmangu!O37+'bt sari'!O37+kwanten!O37+jrlegi!O37+nswg!O37+binangun!O37+krya!O37+adpla!O37+maos!O37+smpg!O37+ksghn!O37+kamla!O37+'cilut-Prnt'!O37+'cilteng-prnt'!O37+'cilse-prnt'!O37+'Kecamatan (25)'!O36</f>
        <v>237.75</v>
      </c>
      <c r="P37" s="24" t="s">
        <v>84</v>
      </c>
      <c r="Q37" s="38">
        <f>dayeuhluhur!Q37+wnrja!Q37+Majenang!Q37+cmggu!Q37+krpucung!Q37+ptmn!Q37+cipari!Q37+sdrja!Q37+kdreja!Q37+gdmangu!Q37+'bt sari'!Q37+kwanten!Q37+jrlegi!Q37+nswg!Q37+binangun!Q37+krya!Q37+adpla!Q37+maos!Q37+smpg!Q37+ksghn!Q37+kamla!Q37+'cilut-Prnt'!Q37+'cilteng-prnt'!Q37+'cilse-prnt'!Q37+'Kecamatan (25)'!Q36</f>
        <v>25</v>
      </c>
      <c r="R37" s="38">
        <f>dayeuhluhur!R37+wnrja!R37+Majenang!R37+cmggu!R37+krpucung!R37+ptmn!R37+cipari!R37+sdrja!R37+kdreja!R37+gdmangu!R37+'bt sari'!R37+kwanten!R37+jrlegi!R37+nswg!R37+binangun!R37+krya!R37+adpla!R37+maos!R37+smpg!R37+ksghn!R37+kamla!R37+'cilut-Prnt'!R37+'cilteng-prnt'!R37+'cilse-prnt'!R37+'Kecamatan (25)'!R36</f>
        <v>0</v>
      </c>
      <c r="S37" s="24"/>
      <c r="AD37" s="40" t="e">
        <f>CONCATENATE(#REF!,B38)</f>
        <v>#REF!</v>
      </c>
      <c r="AE37" s="40" t="str">
        <f t="shared" si="5"/>
        <v/>
      </c>
    </row>
    <row r="38" spans="1:31" x14ac:dyDescent="0.35">
      <c r="A38" s="56">
        <v>28</v>
      </c>
      <c r="B38" s="57" t="s">
        <v>50</v>
      </c>
      <c r="C38" s="24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24" t="s">
        <v>77</v>
      </c>
      <c r="Q38" s="38"/>
      <c r="R38" s="38"/>
      <c r="S38" s="24"/>
      <c r="AD38" s="40" t="e">
        <f>CONCATENATE(#REF!,#REF!)</f>
        <v>#REF!</v>
      </c>
    </row>
    <row r="39" spans="1:31" x14ac:dyDescent="0.35">
      <c r="A39" s="56">
        <v>29</v>
      </c>
      <c r="B39" s="57" t="s">
        <v>51</v>
      </c>
      <c r="C39" s="24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24" t="s">
        <v>82</v>
      </c>
      <c r="Q39" s="38"/>
      <c r="R39" s="38"/>
      <c r="S39" s="24"/>
      <c r="AD39" s="40" t="e">
        <f>CONCATENATE(#REF!,B40)</f>
        <v>#REF!</v>
      </c>
      <c r="AE39" s="40" t="str">
        <f>IF(L40="","",L40/M40)</f>
        <v/>
      </c>
    </row>
    <row r="40" spans="1:31" x14ac:dyDescent="0.35">
      <c r="A40" s="56">
        <v>30</v>
      </c>
      <c r="B40" s="57" t="s">
        <v>52</v>
      </c>
      <c r="C40" s="24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24" t="s">
        <v>83</v>
      </c>
      <c r="Q40" s="38"/>
      <c r="R40" s="38"/>
      <c r="S40" s="24"/>
      <c r="AD40" s="40" t="e">
        <f>CONCATENATE(#REF!,#REF!)</f>
        <v>#REF!</v>
      </c>
    </row>
    <row r="41" spans="1:31" x14ac:dyDescent="0.35">
      <c r="A41" s="263" t="s">
        <v>98</v>
      </c>
      <c r="B41" s="263"/>
      <c r="C41" s="263"/>
      <c r="D41" s="263"/>
      <c r="E41" s="263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68"/>
      <c r="Q41" s="120"/>
      <c r="R41" s="120"/>
    </row>
    <row r="42" spans="1:31" x14ac:dyDescent="0.35">
      <c r="A42" s="263" t="s">
        <v>99</v>
      </c>
      <c r="B42" s="263"/>
      <c r="C42" s="263"/>
      <c r="D42" s="263"/>
      <c r="E42" s="263"/>
      <c r="F42" s="119"/>
      <c r="G42" s="119"/>
      <c r="H42" s="119"/>
      <c r="I42" s="119"/>
      <c r="J42" s="119"/>
      <c r="K42" s="119"/>
      <c r="L42" s="119" t="e">
        <f>SU</f>
        <v>#NAME?</v>
      </c>
      <c r="M42" s="119"/>
      <c r="N42" s="311">
        <f>SUM(N11:N38)</f>
        <v>61132325.948199995</v>
      </c>
      <c r="O42" s="311">
        <f>SUM(O11:O38)</f>
        <v>15543.168018626307</v>
      </c>
      <c r="P42" s="312" t="s">
        <v>98</v>
      </c>
      <c r="Q42" s="312"/>
      <c r="R42" s="312"/>
      <c r="S42" s="312"/>
    </row>
    <row r="43" spans="1:31" x14ac:dyDescent="0.35">
      <c r="A43" s="263" t="s">
        <v>100</v>
      </c>
      <c r="B43" s="263"/>
      <c r="C43" s="263"/>
      <c r="D43" s="263"/>
      <c r="E43" s="263"/>
      <c r="F43" s="61">
        <f>G36-K36</f>
        <v>0</v>
      </c>
      <c r="G43" s="119"/>
      <c r="H43" s="119"/>
      <c r="I43" s="119"/>
      <c r="J43" s="119"/>
      <c r="K43" s="119"/>
      <c r="L43" s="119"/>
      <c r="M43" s="119"/>
      <c r="N43" s="311"/>
      <c r="O43" s="311"/>
      <c r="P43" s="312" t="s">
        <v>163</v>
      </c>
      <c r="Q43" s="312"/>
      <c r="R43" s="312"/>
      <c r="S43" s="312"/>
    </row>
    <row r="44" spans="1:31" x14ac:dyDescent="0.35">
      <c r="A44" s="263" t="s">
        <v>101</v>
      </c>
      <c r="B44" s="263"/>
      <c r="C44" s="263"/>
      <c r="D44" s="263"/>
      <c r="E44" s="263"/>
      <c r="F44" s="119"/>
      <c r="G44" s="119"/>
      <c r="H44" s="119"/>
      <c r="I44" s="119"/>
      <c r="J44" s="119"/>
      <c r="K44" s="119"/>
      <c r="L44" s="119"/>
      <c r="M44" s="119"/>
      <c r="N44" s="311">
        <f>60447010</f>
        <v>60447010</v>
      </c>
      <c r="O44" s="311"/>
      <c r="P44" s="312" t="s">
        <v>100</v>
      </c>
      <c r="Q44" s="312"/>
      <c r="R44" s="312"/>
      <c r="S44" s="312"/>
    </row>
    <row r="45" spans="1:31" x14ac:dyDescent="0.35">
      <c r="A45" s="68"/>
      <c r="B45" s="68"/>
      <c r="C45" s="68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311">
        <f>N44-N42</f>
        <v>-685315.94819999486</v>
      </c>
      <c r="O45" s="311"/>
      <c r="P45" s="312"/>
      <c r="Q45" s="312"/>
      <c r="R45" s="312"/>
      <c r="S45" s="313"/>
    </row>
    <row r="46" spans="1:31" x14ac:dyDescent="0.35">
      <c r="A46" s="68"/>
      <c r="B46" s="68"/>
      <c r="C46" s="68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311"/>
      <c r="O46" s="311"/>
      <c r="P46" s="313"/>
      <c r="Q46" s="313"/>
      <c r="R46" s="313"/>
      <c r="S46" s="313"/>
    </row>
    <row r="47" spans="1:31" x14ac:dyDescent="0.35">
      <c r="A47" s="68"/>
      <c r="B47" s="68"/>
      <c r="C47" s="68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311">
        <f>N15+N20+N22+N23+N24+N33+N34+N36</f>
        <v>60854995.315700002</v>
      </c>
      <c r="O47" s="311"/>
      <c r="P47" s="313"/>
      <c r="Q47" s="313"/>
      <c r="R47" s="313"/>
      <c r="S47" s="313"/>
    </row>
    <row r="48" spans="1:31" x14ac:dyDescent="0.35">
      <c r="A48" s="264" t="s">
        <v>102</v>
      </c>
      <c r="B48" s="264"/>
      <c r="C48" s="264"/>
      <c r="D48" s="264"/>
      <c r="E48" s="264"/>
      <c r="F48" s="119"/>
      <c r="G48" s="119"/>
      <c r="H48" s="119"/>
      <c r="I48" s="119"/>
      <c r="J48" s="119"/>
      <c r="K48" s="119"/>
      <c r="L48" s="119"/>
      <c r="M48" s="119"/>
      <c r="N48" s="311">
        <f>N44-N47</f>
        <v>-407985.31570000201</v>
      </c>
      <c r="O48" s="311"/>
      <c r="P48" s="314" t="s">
        <v>164</v>
      </c>
      <c r="Q48" s="314"/>
      <c r="R48" s="314"/>
      <c r="S48" s="314"/>
    </row>
    <row r="49" spans="1:19" x14ac:dyDescent="0.35">
      <c r="A49" s="263" t="s">
        <v>103</v>
      </c>
      <c r="B49" s="263"/>
      <c r="C49" s="263"/>
      <c r="D49" s="263"/>
      <c r="E49" s="263"/>
      <c r="F49" s="119"/>
      <c r="G49" s="119"/>
      <c r="H49" s="119"/>
      <c r="I49" s="119"/>
      <c r="J49" s="119"/>
      <c r="K49" s="119"/>
      <c r="L49" s="119"/>
      <c r="M49" s="119"/>
      <c r="N49" s="311"/>
      <c r="O49" s="311"/>
      <c r="P49" s="312" t="s">
        <v>165</v>
      </c>
      <c r="Q49" s="312"/>
      <c r="R49" s="312"/>
      <c r="S49" s="312"/>
    </row>
  </sheetData>
  <mergeCells count="23">
    <mergeCell ref="Q9:R9"/>
    <mergeCell ref="D8:K8"/>
    <mergeCell ref="L8:O8"/>
    <mergeCell ref="A3:S3"/>
    <mergeCell ref="D9:G9"/>
    <mergeCell ref="H9:K9"/>
    <mergeCell ref="L9:M9"/>
    <mergeCell ref="N9:O9"/>
    <mergeCell ref="A8:A10"/>
    <mergeCell ref="B8:B10"/>
    <mergeCell ref="C8:C10"/>
    <mergeCell ref="P49:S49"/>
    <mergeCell ref="A49:E49"/>
    <mergeCell ref="A41:E41"/>
    <mergeCell ref="A42:E42"/>
    <mergeCell ref="A43:E43"/>
    <mergeCell ref="A44:E44"/>
    <mergeCell ref="A48:E48"/>
    <mergeCell ref="P45:R45"/>
    <mergeCell ref="P43:S43"/>
    <mergeCell ref="P42:S42"/>
    <mergeCell ref="P44:S44"/>
    <mergeCell ref="P48:S48"/>
  </mergeCells>
  <pageMargins left="0.25" right="0" top="0.23622047244094499" bottom="0.35433070866141703" header="0.196850393700787" footer="0.31496062992126"/>
  <pageSetup paperSize="5" scale="70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C48"/>
  <sheetViews>
    <sheetView topLeftCell="B4" zoomScaleNormal="100" workbookViewId="0">
      <pane ySplit="3180" topLeftCell="A20" activePane="bottomLeft"/>
      <selection activeCell="B4" sqref="B4"/>
      <selection pane="bottomLeft" activeCell="O25" sqref="O25"/>
    </sheetView>
  </sheetViews>
  <sheetFormatPr defaultRowHeight="14.5" x14ac:dyDescent="0.35"/>
  <cols>
    <col min="1" max="1" width="5.453125" customWidth="1"/>
    <col min="2" max="2" width="19.81640625" customWidth="1"/>
    <col min="3" max="3" width="15.1796875" customWidth="1"/>
    <col min="4" max="4" width="13.1796875" customWidth="1"/>
    <col min="5" max="5" width="13.81640625" bestFit="1" customWidth="1"/>
    <col min="6" max="6" width="12.81640625" bestFit="1" customWidth="1"/>
    <col min="7" max="7" width="12.54296875" style="32" customWidth="1"/>
    <col min="8" max="9" width="9.453125" style="32" bestFit="1" customWidth="1"/>
    <col min="10" max="10" width="9.453125" style="32" customWidth="1"/>
    <col min="11" max="11" width="10.453125" style="32" customWidth="1"/>
    <col min="12" max="12" width="13.81640625" bestFit="1" customWidth="1"/>
    <col min="13" max="13" width="11.54296875" style="32" customWidth="1"/>
    <col min="14" max="14" width="13.453125" customWidth="1"/>
    <col min="15" max="15" width="10.7265625" customWidth="1"/>
    <col min="16" max="16" width="16.1796875" customWidth="1"/>
    <col min="17" max="17" width="13" customWidth="1"/>
    <col min="18" max="18" width="9.1796875" customWidth="1"/>
    <col min="19" max="19" width="5.54296875" customWidth="1"/>
    <col min="21" max="21" width="12" bestFit="1" customWidth="1"/>
    <col min="22" max="22" width="13.81640625" bestFit="1" customWidth="1"/>
    <col min="23" max="23" width="12" bestFit="1" customWidth="1"/>
    <col min="24" max="25" width="13.81640625" bestFit="1" customWidth="1"/>
    <col min="26" max="26" width="12" bestFit="1" customWidth="1"/>
    <col min="28" max="29" width="9.1796875" hidden="1" customWidth="1"/>
  </cols>
  <sheetData>
    <row r="1" spans="1:29" x14ac:dyDescent="0.35">
      <c r="A1" s="1" t="s">
        <v>57</v>
      </c>
      <c r="G1" s="30"/>
      <c r="H1" s="30"/>
      <c r="I1" s="30"/>
      <c r="J1" s="30"/>
      <c r="K1" s="30"/>
      <c r="M1" s="30"/>
    </row>
    <row r="2" spans="1:29" x14ac:dyDescent="0.35">
      <c r="A2" s="2"/>
      <c r="G2" s="30"/>
      <c r="H2" s="30"/>
      <c r="I2" s="30"/>
      <c r="J2" s="30"/>
      <c r="K2" s="30"/>
      <c r="M2" s="30"/>
    </row>
    <row r="3" spans="1:29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29" x14ac:dyDescent="0.35">
      <c r="A4" s="1"/>
      <c r="G4" s="30"/>
      <c r="H4" s="30"/>
      <c r="I4" s="30"/>
      <c r="J4" s="30"/>
      <c r="K4" s="30"/>
      <c r="M4" s="30"/>
      <c r="R4" s="5"/>
      <c r="S4" s="6"/>
    </row>
    <row r="5" spans="1:29" x14ac:dyDescent="0.35">
      <c r="A5" s="122" t="s">
        <v>63</v>
      </c>
      <c r="B5" s="123" t="s">
        <v>169</v>
      </c>
      <c r="C5" s="123" t="s">
        <v>170</v>
      </c>
      <c r="D5" s="123"/>
      <c r="E5" s="123"/>
      <c r="F5" s="123"/>
      <c r="G5" s="124"/>
      <c r="H5" s="124"/>
      <c r="I5" s="124"/>
      <c r="J5" s="124"/>
      <c r="K5" s="124"/>
      <c r="L5" s="125"/>
      <c r="M5" s="124"/>
      <c r="N5" s="126"/>
      <c r="O5" s="123"/>
      <c r="P5" s="123"/>
      <c r="Q5" s="123" t="s">
        <v>60</v>
      </c>
      <c r="R5" s="122">
        <v>2019</v>
      </c>
      <c r="S5" s="123"/>
    </row>
    <row r="6" spans="1:29" x14ac:dyDescent="0.35">
      <c r="A6" s="122" t="s">
        <v>62</v>
      </c>
      <c r="B6" s="123" t="s">
        <v>171</v>
      </c>
      <c r="C6" s="123" t="s">
        <v>172</v>
      </c>
      <c r="D6" s="123"/>
      <c r="E6" s="123"/>
      <c r="F6" s="123"/>
      <c r="G6" s="124"/>
      <c r="H6" s="124"/>
      <c r="I6" s="124"/>
      <c r="J6" s="124">
        <f>G15-K15</f>
        <v>0</v>
      </c>
      <c r="K6" s="124"/>
      <c r="L6" s="123"/>
      <c r="M6" s="124"/>
      <c r="N6" s="127"/>
      <c r="O6" s="123"/>
      <c r="P6" s="123"/>
      <c r="Q6" s="123" t="s">
        <v>93</v>
      </c>
      <c r="R6" s="122" t="s">
        <v>202</v>
      </c>
      <c r="S6" s="123"/>
    </row>
    <row r="7" spans="1:29" x14ac:dyDescent="0.35">
      <c r="A7" s="122" t="s">
        <v>64</v>
      </c>
      <c r="B7" s="123" t="s">
        <v>173</v>
      </c>
      <c r="C7" s="123" t="s">
        <v>174</v>
      </c>
      <c r="D7" s="123"/>
      <c r="E7" s="123"/>
      <c r="F7" s="123"/>
      <c r="G7" s="124"/>
      <c r="H7" s="124"/>
      <c r="I7" s="124"/>
      <c r="J7" s="124"/>
      <c r="K7" s="124"/>
      <c r="L7" s="123"/>
      <c r="M7" s="124"/>
      <c r="N7" s="123"/>
      <c r="O7" s="123"/>
      <c r="P7" s="123"/>
      <c r="Q7" s="123"/>
      <c r="R7" s="123"/>
      <c r="S7" s="123"/>
    </row>
    <row r="8" spans="1:29" s="11" customFormat="1" x14ac:dyDescent="0.35">
      <c r="A8" s="271" t="s">
        <v>3</v>
      </c>
      <c r="B8" s="271" t="s">
        <v>4</v>
      </c>
      <c r="C8" s="271" t="s">
        <v>23</v>
      </c>
      <c r="D8" s="271" t="s">
        <v>6</v>
      </c>
      <c r="E8" s="271"/>
      <c r="F8" s="271"/>
      <c r="G8" s="271"/>
      <c r="H8" s="271"/>
      <c r="I8" s="271"/>
      <c r="J8" s="271"/>
      <c r="K8" s="271"/>
      <c r="L8" s="271" t="s">
        <v>22</v>
      </c>
      <c r="M8" s="271"/>
      <c r="N8" s="271"/>
      <c r="O8" s="271"/>
      <c r="P8" s="128"/>
      <c r="Q8" s="129"/>
      <c r="R8" s="130"/>
      <c r="S8" s="128"/>
      <c r="AB8" s="11" t="s">
        <v>54</v>
      </c>
      <c r="AC8" s="11" t="s">
        <v>54</v>
      </c>
    </row>
    <row r="9" spans="1:29" s="11" customFormat="1" ht="29" x14ac:dyDescent="0.35">
      <c r="A9" s="271"/>
      <c r="B9" s="271"/>
      <c r="C9" s="271"/>
      <c r="D9" s="273" t="s">
        <v>7</v>
      </c>
      <c r="E9" s="273"/>
      <c r="F9" s="273"/>
      <c r="G9" s="273"/>
      <c r="H9" s="274" t="s">
        <v>12</v>
      </c>
      <c r="I9" s="274"/>
      <c r="J9" s="274"/>
      <c r="K9" s="274"/>
      <c r="L9" s="273" t="s">
        <v>13</v>
      </c>
      <c r="M9" s="273"/>
      <c r="N9" s="273" t="s">
        <v>15</v>
      </c>
      <c r="O9" s="273"/>
      <c r="P9" s="131"/>
      <c r="Q9" s="275" t="s">
        <v>17</v>
      </c>
      <c r="R9" s="276"/>
      <c r="S9" s="131" t="s">
        <v>104</v>
      </c>
      <c r="V9" s="11" t="s">
        <v>15</v>
      </c>
      <c r="AB9" s="11" t="s">
        <v>56</v>
      </c>
      <c r="AC9" s="11" t="s">
        <v>56</v>
      </c>
    </row>
    <row r="10" spans="1:29" s="11" customFormat="1" ht="29" x14ac:dyDescent="0.35">
      <c r="A10" s="271"/>
      <c r="B10" s="271"/>
      <c r="C10" s="271"/>
      <c r="D10" s="132" t="s">
        <v>8</v>
      </c>
      <c r="E10" s="132" t="s">
        <v>9</v>
      </c>
      <c r="F10" s="132" t="s">
        <v>10</v>
      </c>
      <c r="G10" s="133" t="s">
        <v>11</v>
      </c>
      <c r="H10" s="133" t="s">
        <v>0</v>
      </c>
      <c r="I10" s="133" t="s">
        <v>1</v>
      </c>
      <c r="J10" s="133" t="s">
        <v>2</v>
      </c>
      <c r="K10" s="133" t="s">
        <v>11</v>
      </c>
      <c r="L10" s="132" t="s">
        <v>14</v>
      </c>
      <c r="M10" s="134" t="s">
        <v>21</v>
      </c>
      <c r="N10" s="132" t="s">
        <v>14</v>
      </c>
      <c r="O10" s="132" t="s">
        <v>21</v>
      </c>
      <c r="P10" s="135" t="s">
        <v>16</v>
      </c>
      <c r="Q10" s="132" t="s">
        <v>19</v>
      </c>
      <c r="R10" s="132" t="s">
        <v>20</v>
      </c>
      <c r="S10" s="135"/>
      <c r="V10" s="11" t="s">
        <v>14</v>
      </c>
      <c r="W10" s="11" t="s">
        <v>21</v>
      </c>
      <c r="AB10" s="11" t="s">
        <v>55</v>
      </c>
      <c r="AC10" s="11" t="s">
        <v>55</v>
      </c>
    </row>
    <row r="11" spans="1:29" x14ac:dyDescent="0.35">
      <c r="A11" s="136">
        <v>1</v>
      </c>
      <c r="B11" s="137" t="s">
        <v>5</v>
      </c>
      <c r="C11" s="138">
        <f>133.98-18-10</f>
        <v>105.97999999999999</v>
      </c>
      <c r="D11" s="139">
        <v>0</v>
      </c>
      <c r="E11" s="139">
        <f>2.25+56-28-10</f>
        <v>20.25</v>
      </c>
      <c r="F11" s="138">
        <v>1</v>
      </c>
      <c r="G11" s="138">
        <f>C11+E11-F11</f>
        <v>125.22999999999999</v>
      </c>
      <c r="H11" s="138">
        <f>24.2-2.4</f>
        <v>21.8</v>
      </c>
      <c r="I11" s="138">
        <f>94.2+2.4</f>
        <v>96.600000000000009</v>
      </c>
      <c r="J11" s="138">
        <v>6.83</v>
      </c>
      <c r="K11" s="138">
        <f>SUM(H11:J11)</f>
        <v>125.23</v>
      </c>
      <c r="L11" s="140">
        <v>153859.6</v>
      </c>
      <c r="M11" s="138">
        <v>1993</v>
      </c>
      <c r="N11" s="138">
        <f>O11*I11</f>
        <v>147363.30000000002</v>
      </c>
      <c r="O11" s="138">
        <v>1525.5</v>
      </c>
      <c r="P11" s="137" t="s">
        <v>67</v>
      </c>
      <c r="Q11" s="141">
        <f>84+60</f>
        <v>144</v>
      </c>
      <c r="R11" s="142"/>
      <c r="S11" s="142"/>
      <c r="U11" s="59">
        <f>K11-G11</f>
        <v>0</v>
      </c>
      <c r="V11" s="28">
        <v>54282.75</v>
      </c>
      <c r="W11">
        <v>576.25</v>
      </c>
      <c r="X11" s="28"/>
      <c r="Y11" s="28">
        <f>W11*2</f>
        <v>1152.5</v>
      </c>
      <c r="Z11" s="27"/>
    </row>
    <row r="12" spans="1:29" x14ac:dyDescent="0.35">
      <c r="A12" s="136">
        <v>2</v>
      </c>
      <c r="B12" s="137" t="s">
        <v>25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7" t="s">
        <v>68</v>
      </c>
      <c r="Q12" s="141"/>
      <c r="R12" s="141"/>
      <c r="S12" s="141"/>
      <c r="U12" s="68"/>
    </row>
    <row r="13" spans="1:29" x14ac:dyDescent="0.35">
      <c r="A13" s="136">
        <v>3</v>
      </c>
      <c r="B13" s="137" t="s">
        <v>26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7" t="s">
        <v>68</v>
      </c>
      <c r="Q13" s="141"/>
      <c r="R13" s="141"/>
      <c r="S13" s="141"/>
      <c r="U13" s="68"/>
    </row>
    <row r="14" spans="1:29" x14ac:dyDescent="0.35">
      <c r="A14" s="136">
        <v>4</v>
      </c>
      <c r="B14" s="137" t="s">
        <v>27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7" t="s">
        <v>69</v>
      </c>
      <c r="Q14" s="141"/>
      <c r="R14" s="141"/>
      <c r="S14" s="141"/>
      <c r="U14" s="68"/>
    </row>
    <row r="15" spans="1:29" x14ac:dyDescent="0.35">
      <c r="A15" s="136">
        <v>5</v>
      </c>
      <c r="B15" s="137" t="s">
        <v>28</v>
      </c>
      <c r="C15" s="138">
        <v>827.82</v>
      </c>
      <c r="D15" s="139">
        <v>0</v>
      </c>
      <c r="E15" s="138">
        <v>0</v>
      </c>
      <c r="F15" s="139">
        <v>0</v>
      </c>
      <c r="G15" s="138">
        <f>C15+E15-F15</f>
        <v>827.82</v>
      </c>
      <c r="H15" s="138">
        <f>412.61-40</f>
        <v>372.61</v>
      </c>
      <c r="I15" s="138">
        <f>367.41+40</f>
        <v>407.41</v>
      </c>
      <c r="J15" s="138">
        <v>47.8</v>
      </c>
      <c r="K15" s="138">
        <f>SUM(H15:J15)</f>
        <v>827.81999999999994</v>
      </c>
      <c r="L15" s="138">
        <v>284438.8</v>
      </c>
      <c r="M15" s="138">
        <v>80.53</v>
      </c>
      <c r="N15" s="138">
        <f>O15*I15</f>
        <v>146928.34239999999</v>
      </c>
      <c r="O15" s="138">
        <v>360.64</v>
      </c>
      <c r="P15" s="137" t="s">
        <v>70</v>
      </c>
      <c r="Q15" s="143">
        <f>1661</f>
        <v>1661</v>
      </c>
      <c r="R15" s="142"/>
      <c r="S15" s="142"/>
      <c r="U15" s="69"/>
      <c r="V15" s="27">
        <v>0</v>
      </c>
      <c r="W15" s="28">
        <v>0</v>
      </c>
      <c r="X15" s="28"/>
      <c r="Y15">
        <f>196.65*1.5</f>
        <v>294.97500000000002</v>
      </c>
    </row>
    <row r="16" spans="1:29" x14ac:dyDescent="0.35">
      <c r="A16" s="136">
        <v>6</v>
      </c>
      <c r="B16" s="137" t="s">
        <v>29</v>
      </c>
      <c r="C16" s="138"/>
      <c r="D16" s="138"/>
      <c r="E16" s="138"/>
      <c r="F16" s="138"/>
      <c r="G16" s="138"/>
      <c r="H16" s="138"/>
      <c r="I16" s="138"/>
      <c r="J16" s="138"/>
      <c r="K16" s="138">
        <f t="shared" ref="K16:K20" si="0">SUM(H16:J16)</f>
        <v>0</v>
      </c>
      <c r="L16" s="138"/>
      <c r="M16" s="138"/>
      <c r="N16" s="138"/>
      <c r="O16" s="138"/>
      <c r="P16" s="137" t="s">
        <v>70</v>
      </c>
      <c r="Q16" s="141"/>
      <c r="R16" s="141"/>
      <c r="S16" s="141"/>
      <c r="U16" s="68"/>
    </row>
    <row r="17" spans="1:26" x14ac:dyDescent="0.35">
      <c r="A17" s="136">
        <v>7</v>
      </c>
      <c r="B17" s="137" t="s">
        <v>30</v>
      </c>
      <c r="C17" s="138"/>
      <c r="D17" s="138"/>
      <c r="E17" s="138"/>
      <c r="F17" s="138"/>
      <c r="G17" s="138"/>
      <c r="H17" s="138"/>
      <c r="I17" s="138"/>
      <c r="J17" s="138"/>
      <c r="K17" s="138">
        <f t="shared" si="0"/>
        <v>0</v>
      </c>
      <c r="L17" s="138"/>
      <c r="M17" s="138"/>
      <c r="N17" s="138"/>
      <c r="O17" s="138"/>
      <c r="P17" s="137" t="s">
        <v>71</v>
      </c>
      <c r="Q17" s="141"/>
      <c r="R17" s="141"/>
      <c r="S17" s="141"/>
      <c r="U17" s="68"/>
    </row>
    <row r="18" spans="1:26" x14ac:dyDescent="0.35">
      <c r="A18" s="136">
        <v>8</v>
      </c>
      <c r="B18" s="137" t="s">
        <v>31</v>
      </c>
      <c r="C18" s="138"/>
      <c r="D18" s="138"/>
      <c r="E18" s="138"/>
      <c r="F18" s="138"/>
      <c r="G18" s="138"/>
      <c r="H18" s="138"/>
      <c r="I18" s="138"/>
      <c r="J18" s="138"/>
      <c r="K18" s="138">
        <f t="shared" si="0"/>
        <v>0</v>
      </c>
      <c r="L18" s="138"/>
      <c r="M18" s="138"/>
      <c r="N18" s="138"/>
      <c r="O18" s="138"/>
      <c r="P18" s="137" t="s">
        <v>72</v>
      </c>
      <c r="Q18" s="141"/>
      <c r="R18" s="141"/>
      <c r="S18" s="141"/>
      <c r="U18" s="68"/>
    </row>
    <row r="19" spans="1:26" x14ac:dyDescent="0.35">
      <c r="A19" s="136">
        <v>9</v>
      </c>
      <c r="B19" s="137" t="s">
        <v>32</v>
      </c>
      <c r="C19" s="138"/>
      <c r="D19" s="138"/>
      <c r="E19" s="138"/>
      <c r="F19" s="138"/>
      <c r="G19" s="138"/>
      <c r="H19" s="138"/>
      <c r="I19" s="138"/>
      <c r="J19" s="138"/>
      <c r="K19" s="138">
        <f t="shared" si="0"/>
        <v>0</v>
      </c>
      <c r="L19" s="138"/>
      <c r="M19" s="138"/>
      <c r="N19" s="138"/>
      <c r="O19" s="138"/>
      <c r="P19" s="137" t="s">
        <v>72</v>
      </c>
      <c r="Q19" s="141"/>
      <c r="R19" s="141"/>
      <c r="S19" s="141"/>
      <c r="U19" s="68"/>
    </row>
    <row r="20" spans="1:26" x14ac:dyDescent="0.35">
      <c r="A20" s="136">
        <v>10</v>
      </c>
      <c r="B20" s="137" t="s">
        <v>33</v>
      </c>
      <c r="C20" s="138">
        <v>3.75</v>
      </c>
      <c r="D20" s="138">
        <v>0</v>
      </c>
      <c r="E20" s="138">
        <v>0</v>
      </c>
      <c r="F20" s="138">
        <v>0</v>
      </c>
      <c r="G20" s="138">
        <f>C20+E20-F20</f>
        <v>3.75</v>
      </c>
      <c r="H20" s="138">
        <v>3.75</v>
      </c>
      <c r="I20" s="138">
        <v>0</v>
      </c>
      <c r="J20" s="138">
        <v>0</v>
      </c>
      <c r="K20" s="138">
        <f t="shared" si="0"/>
        <v>3.75</v>
      </c>
      <c r="L20" s="138">
        <v>0</v>
      </c>
      <c r="M20" s="138">
        <v>0</v>
      </c>
      <c r="N20" s="138">
        <v>0</v>
      </c>
      <c r="O20" s="138">
        <v>0</v>
      </c>
      <c r="P20" s="137" t="s">
        <v>72</v>
      </c>
      <c r="Q20" s="141">
        <v>21</v>
      </c>
      <c r="R20" s="141"/>
      <c r="S20" s="141"/>
      <c r="U20" s="68"/>
      <c r="V20">
        <v>0</v>
      </c>
      <c r="W20">
        <v>0</v>
      </c>
    </row>
    <row r="21" spans="1:26" x14ac:dyDescent="0.35">
      <c r="A21" s="136">
        <v>11</v>
      </c>
      <c r="B21" s="144" t="s">
        <v>96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37"/>
      <c r="Q21" s="137"/>
      <c r="R21" s="137"/>
      <c r="S21" s="137"/>
      <c r="U21" s="68"/>
    </row>
    <row r="22" spans="1:26" x14ac:dyDescent="0.35">
      <c r="A22" s="136">
        <v>12</v>
      </c>
      <c r="B22" s="137" t="s">
        <v>34</v>
      </c>
      <c r="C22" s="146">
        <v>1228.55</v>
      </c>
      <c r="D22" s="139">
        <v>0</v>
      </c>
      <c r="E22" s="139">
        <v>0</v>
      </c>
      <c r="F22" s="139">
        <v>5</v>
      </c>
      <c r="G22" s="138">
        <f>C22+E22-F22</f>
        <v>1223.55</v>
      </c>
      <c r="H22" s="138">
        <f>365.05-35</f>
        <v>330.05</v>
      </c>
      <c r="I22" s="138">
        <f>710.2+35</f>
        <v>745.2</v>
      </c>
      <c r="J22" s="138">
        <v>148.30000000000001</v>
      </c>
      <c r="K22" s="138">
        <f t="shared" ref="K22:K38" si="1">SUM(H22:J22)</f>
        <v>1223.55</v>
      </c>
      <c r="L22" s="138">
        <v>801154.66</v>
      </c>
      <c r="M22" s="138">
        <v>1128.07</v>
      </c>
      <c r="N22" s="138">
        <f>O22*I22</f>
        <v>976830.51600000006</v>
      </c>
      <c r="O22" s="138">
        <v>1310.83</v>
      </c>
      <c r="P22" s="137" t="s">
        <v>73</v>
      </c>
      <c r="Q22" s="143">
        <f>1254-850+400</f>
        <v>804</v>
      </c>
      <c r="R22" s="142"/>
      <c r="S22" s="142"/>
      <c r="U22" s="60"/>
      <c r="V22" s="66">
        <v>270728.24</v>
      </c>
      <c r="W22">
        <v>381.2</v>
      </c>
      <c r="X22" s="65"/>
      <c r="Y22" s="27">
        <f>605.42*1.5</f>
        <v>908.12999999999988</v>
      </c>
      <c r="Z22" s="27"/>
    </row>
    <row r="23" spans="1:26" x14ac:dyDescent="0.35">
      <c r="A23" s="136">
        <v>13</v>
      </c>
      <c r="B23" s="137" t="s">
        <v>35</v>
      </c>
      <c r="C23" s="146">
        <v>1146</v>
      </c>
      <c r="D23" s="139">
        <v>1</v>
      </c>
      <c r="E23" s="139">
        <v>4</v>
      </c>
      <c r="F23" s="139">
        <v>3</v>
      </c>
      <c r="G23" s="138">
        <f>C23+E23-F23</f>
        <v>1147</v>
      </c>
      <c r="H23" s="138">
        <f>247-20</f>
        <v>227</v>
      </c>
      <c r="I23" s="138">
        <f>789+20</f>
        <v>809</v>
      </c>
      <c r="J23" s="138">
        <v>111</v>
      </c>
      <c r="K23" s="138">
        <f t="shared" si="1"/>
        <v>1147</v>
      </c>
      <c r="L23" s="138">
        <v>764780</v>
      </c>
      <c r="M23" s="138">
        <v>1027.93</v>
      </c>
      <c r="N23" s="138">
        <f>O23*I23</f>
        <v>1011411.8</v>
      </c>
      <c r="O23" s="138">
        <v>1250.2</v>
      </c>
      <c r="P23" s="137" t="s">
        <v>74</v>
      </c>
      <c r="Q23" s="147">
        <f>4584-200+33</f>
        <v>4417</v>
      </c>
      <c r="R23" s="142"/>
      <c r="S23" s="142"/>
      <c r="U23" s="59"/>
      <c r="V23" s="28">
        <v>196145.4</v>
      </c>
      <c r="W23" s="37">
        <v>248.6</v>
      </c>
      <c r="X23" s="67"/>
      <c r="Y23" s="28">
        <f>W23*2</f>
        <v>497.2</v>
      </c>
      <c r="Z23">
        <f>515.18*2</f>
        <v>1030.3599999999999</v>
      </c>
    </row>
    <row r="24" spans="1:26" x14ac:dyDescent="0.35">
      <c r="A24" s="136">
        <v>14</v>
      </c>
      <c r="B24" s="137" t="s">
        <v>36</v>
      </c>
      <c r="C24" s="146">
        <v>100</v>
      </c>
      <c r="D24" s="139">
        <v>0</v>
      </c>
      <c r="E24" s="139">
        <v>0</v>
      </c>
      <c r="F24" s="139">
        <v>0</v>
      </c>
      <c r="G24" s="138">
        <f>C24+E24-F24</f>
        <v>100</v>
      </c>
      <c r="H24" s="139">
        <v>0</v>
      </c>
      <c r="I24" s="138">
        <v>93</v>
      </c>
      <c r="J24" s="138">
        <v>7</v>
      </c>
      <c r="K24" s="138">
        <f t="shared" si="1"/>
        <v>100</v>
      </c>
      <c r="L24" s="138">
        <f>878875-3000.5-0.1</f>
        <v>875874.4</v>
      </c>
      <c r="M24" s="138">
        <v>9875</v>
      </c>
      <c r="N24" s="138">
        <f>O24*I24</f>
        <v>886662</v>
      </c>
      <c r="O24" s="138">
        <v>9534</v>
      </c>
      <c r="P24" s="137" t="s">
        <v>75</v>
      </c>
      <c r="Q24" s="143">
        <f>1340-499+20</f>
        <v>861</v>
      </c>
      <c r="R24" s="142"/>
      <c r="S24" s="142"/>
      <c r="U24" s="73"/>
      <c r="V24" s="66">
        <v>212774.7</v>
      </c>
      <c r="W24" s="37">
        <v>2287.9</v>
      </c>
      <c r="X24" s="27"/>
      <c r="Y24" s="28">
        <f>W24*2</f>
        <v>4575.8</v>
      </c>
    </row>
    <row r="25" spans="1:26" x14ac:dyDescent="0.35">
      <c r="A25" s="136">
        <v>15</v>
      </c>
      <c r="B25" s="137" t="s">
        <v>37</v>
      </c>
      <c r="C25" s="138"/>
      <c r="D25" s="138"/>
      <c r="E25" s="138"/>
      <c r="F25" s="138"/>
      <c r="G25" s="138"/>
      <c r="H25" s="138"/>
      <c r="I25" s="138"/>
      <c r="J25" s="138"/>
      <c r="K25" s="138">
        <f t="shared" si="1"/>
        <v>0</v>
      </c>
      <c r="L25" s="138"/>
      <c r="M25" s="138"/>
      <c r="N25" s="138"/>
      <c r="O25" s="138"/>
      <c r="P25" s="137" t="s">
        <v>74</v>
      </c>
      <c r="Q25" s="141"/>
      <c r="R25" s="141"/>
      <c r="S25" s="141"/>
      <c r="U25" s="68"/>
    </row>
    <row r="26" spans="1:26" x14ac:dyDescent="0.35">
      <c r="A26" s="136">
        <v>16</v>
      </c>
      <c r="B26" s="137" t="s">
        <v>38</v>
      </c>
      <c r="C26" s="138"/>
      <c r="D26" s="138"/>
      <c r="E26" s="138"/>
      <c r="F26" s="138"/>
      <c r="G26" s="138"/>
      <c r="H26" s="138"/>
      <c r="I26" s="138"/>
      <c r="J26" s="138"/>
      <c r="K26" s="138">
        <f t="shared" si="1"/>
        <v>0</v>
      </c>
      <c r="L26" s="138"/>
      <c r="M26" s="138"/>
      <c r="N26" s="138"/>
      <c r="O26" s="138"/>
      <c r="P26" s="137" t="s">
        <v>76</v>
      </c>
      <c r="Q26" s="141"/>
      <c r="R26" s="141"/>
      <c r="S26" s="141"/>
      <c r="U26" s="68"/>
    </row>
    <row r="27" spans="1:26" x14ac:dyDescent="0.35">
      <c r="A27" s="136">
        <v>17</v>
      </c>
      <c r="B27" s="137" t="s">
        <v>39</v>
      </c>
      <c r="C27" s="138"/>
      <c r="D27" s="138"/>
      <c r="E27" s="138"/>
      <c r="F27" s="138"/>
      <c r="G27" s="138"/>
      <c r="H27" s="138"/>
      <c r="I27" s="138"/>
      <c r="J27" s="138"/>
      <c r="K27" s="138">
        <f t="shared" si="1"/>
        <v>0</v>
      </c>
      <c r="L27" s="138"/>
      <c r="M27" s="138"/>
      <c r="N27" s="138"/>
      <c r="O27" s="138"/>
      <c r="P27" s="137" t="s">
        <v>77</v>
      </c>
      <c r="Q27" s="141"/>
      <c r="R27" s="141"/>
      <c r="S27" s="141"/>
      <c r="U27" s="68"/>
    </row>
    <row r="28" spans="1:26" x14ac:dyDescent="0.35">
      <c r="A28" s="136">
        <v>18</v>
      </c>
      <c r="B28" s="137" t="s">
        <v>40</v>
      </c>
      <c r="C28" s="138"/>
      <c r="D28" s="138"/>
      <c r="E28" s="138"/>
      <c r="F28" s="138"/>
      <c r="G28" s="138"/>
      <c r="H28" s="138"/>
      <c r="I28" s="138"/>
      <c r="J28" s="138"/>
      <c r="K28" s="138">
        <f t="shared" si="1"/>
        <v>0</v>
      </c>
      <c r="L28" s="138"/>
      <c r="M28" s="138"/>
      <c r="N28" s="138"/>
      <c r="O28" s="138"/>
      <c r="P28" s="137" t="s">
        <v>78</v>
      </c>
      <c r="Q28" s="141"/>
      <c r="R28" s="141"/>
      <c r="S28" s="141"/>
      <c r="U28" s="68"/>
    </row>
    <row r="29" spans="1:26" x14ac:dyDescent="0.35">
      <c r="A29" s="136">
        <v>19</v>
      </c>
      <c r="B29" s="137" t="s">
        <v>41</v>
      </c>
      <c r="C29" s="138"/>
      <c r="D29" s="138"/>
      <c r="E29" s="138"/>
      <c r="F29" s="138"/>
      <c r="G29" s="138"/>
      <c r="H29" s="138"/>
      <c r="I29" s="138"/>
      <c r="J29" s="138"/>
      <c r="K29" s="138">
        <f t="shared" si="1"/>
        <v>0</v>
      </c>
      <c r="L29" s="138"/>
      <c r="M29" s="138"/>
      <c r="N29" s="138"/>
      <c r="O29" s="138"/>
      <c r="P29" s="137" t="s">
        <v>79</v>
      </c>
      <c r="Q29" s="141"/>
      <c r="R29" s="141"/>
      <c r="S29" s="141"/>
      <c r="U29" s="68"/>
    </row>
    <row r="30" spans="1:26" x14ac:dyDescent="0.35">
      <c r="A30" s="136">
        <v>20</v>
      </c>
      <c r="B30" s="137" t="s">
        <v>42</v>
      </c>
      <c r="C30" s="138"/>
      <c r="D30" s="138"/>
      <c r="E30" s="138"/>
      <c r="F30" s="138"/>
      <c r="G30" s="138"/>
      <c r="H30" s="138"/>
      <c r="I30" s="138"/>
      <c r="J30" s="138"/>
      <c r="K30" s="138">
        <f t="shared" si="1"/>
        <v>0</v>
      </c>
      <c r="L30" s="138"/>
      <c r="M30" s="138"/>
      <c r="N30" s="138"/>
      <c r="O30" s="138"/>
      <c r="P30" s="137" t="s">
        <v>80</v>
      </c>
      <c r="Q30" s="141"/>
      <c r="R30" s="141"/>
      <c r="S30" s="141"/>
      <c r="U30" s="68"/>
    </row>
    <row r="31" spans="1:26" x14ac:dyDescent="0.35">
      <c r="A31" s="136">
        <v>21</v>
      </c>
      <c r="B31" s="137" t="s">
        <v>43</v>
      </c>
      <c r="C31" s="138"/>
      <c r="D31" s="138"/>
      <c r="E31" s="138"/>
      <c r="F31" s="138"/>
      <c r="G31" s="138"/>
      <c r="H31" s="138"/>
      <c r="I31" s="138"/>
      <c r="J31" s="138"/>
      <c r="K31" s="138">
        <f t="shared" si="1"/>
        <v>0</v>
      </c>
      <c r="L31" s="138"/>
      <c r="M31" s="138"/>
      <c r="N31" s="138"/>
      <c r="O31" s="138"/>
      <c r="P31" s="137" t="s">
        <v>69</v>
      </c>
      <c r="Q31" s="141"/>
      <c r="R31" s="141"/>
      <c r="S31" s="141"/>
      <c r="U31" s="68"/>
    </row>
    <row r="32" spans="1:26" x14ac:dyDescent="0.35">
      <c r="A32" s="136">
        <v>22</v>
      </c>
      <c r="B32" s="137" t="s">
        <v>44</v>
      </c>
      <c r="C32" s="138"/>
      <c r="D32" s="138"/>
      <c r="E32" s="138"/>
      <c r="F32" s="138"/>
      <c r="G32" s="138"/>
      <c r="H32" s="138"/>
      <c r="I32" s="138"/>
      <c r="J32" s="138"/>
      <c r="K32" s="138">
        <f t="shared" si="1"/>
        <v>0</v>
      </c>
      <c r="L32" s="138"/>
      <c r="M32" s="138"/>
      <c r="N32" s="138"/>
      <c r="O32" s="138"/>
      <c r="P32" s="137" t="s">
        <v>81</v>
      </c>
      <c r="Q32" s="141"/>
      <c r="R32" s="141"/>
      <c r="S32" s="141"/>
      <c r="U32" s="68"/>
      <c r="W32" s="37"/>
    </row>
    <row r="33" spans="1:29" x14ac:dyDescent="0.35">
      <c r="A33" s="136">
        <v>23</v>
      </c>
      <c r="B33" s="137" t="s">
        <v>45</v>
      </c>
      <c r="C33" s="138">
        <v>198</v>
      </c>
      <c r="D33" s="139">
        <v>0</v>
      </c>
      <c r="E33" s="139">
        <v>4.18</v>
      </c>
      <c r="F33" s="139">
        <v>0</v>
      </c>
      <c r="G33" s="138">
        <f>C33+E33-F33</f>
        <v>202.18</v>
      </c>
      <c r="H33" s="138">
        <f>62+4.18</f>
        <v>66.180000000000007</v>
      </c>
      <c r="I33" s="138">
        <v>125.33</v>
      </c>
      <c r="J33" s="138">
        <v>10.67</v>
      </c>
      <c r="K33" s="138">
        <f t="shared" si="1"/>
        <v>202.17999999999998</v>
      </c>
      <c r="L33" s="138">
        <v>45423.7</v>
      </c>
      <c r="M33" s="138">
        <v>362.43</v>
      </c>
      <c r="N33" s="138">
        <f>O33*I33</f>
        <v>94663.002299999993</v>
      </c>
      <c r="O33" s="146">
        <v>755.31</v>
      </c>
      <c r="P33" s="137" t="s">
        <v>81</v>
      </c>
      <c r="Q33" s="148">
        <f>1643-1312</f>
        <v>331</v>
      </c>
      <c r="R33" s="142"/>
      <c r="S33" s="142"/>
      <c r="U33" s="60"/>
      <c r="V33" s="28">
        <v>0</v>
      </c>
      <c r="W33">
        <v>0</v>
      </c>
    </row>
    <row r="34" spans="1:29" x14ac:dyDescent="0.35">
      <c r="A34" s="136">
        <v>24</v>
      </c>
      <c r="B34" s="137" t="s">
        <v>46</v>
      </c>
      <c r="C34" s="138">
        <v>9.5</v>
      </c>
      <c r="D34" s="139">
        <v>0</v>
      </c>
      <c r="E34" s="139">
        <v>0</v>
      </c>
      <c r="F34" s="139">
        <v>0</v>
      </c>
      <c r="G34" s="138">
        <f>C34+E34-F34</f>
        <v>9.5</v>
      </c>
      <c r="H34" s="138">
        <f>4.5-1-0.5</f>
        <v>3</v>
      </c>
      <c r="I34" s="138">
        <f>5+1+0.5</f>
        <v>6.5</v>
      </c>
      <c r="J34" s="139">
        <v>0</v>
      </c>
      <c r="K34" s="138">
        <f t="shared" si="1"/>
        <v>9.5</v>
      </c>
      <c r="L34" s="138">
        <v>5710.87</v>
      </c>
      <c r="M34" s="138">
        <v>878.59</v>
      </c>
      <c r="N34" s="138">
        <f>O34*I34</f>
        <v>3743.5449999999996</v>
      </c>
      <c r="O34" s="146">
        <v>575.92999999999995</v>
      </c>
      <c r="P34" s="137" t="s">
        <v>72</v>
      </c>
      <c r="Q34" s="149">
        <v>94</v>
      </c>
      <c r="R34" s="142"/>
      <c r="S34" s="142"/>
      <c r="U34" s="74"/>
      <c r="V34">
        <v>0</v>
      </c>
      <c r="W34" s="33">
        <v>0</v>
      </c>
      <c r="X34" s="28"/>
      <c r="Y34" s="33" t="s">
        <v>168</v>
      </c>
    </row>
    <row r="35" spans="1:29" x14ac:dyDescent="0.35">
      <c r="A35" s="136">
        <v>25</v>
      </c>
      <c r="B35" s="137" t="s">
        <v>47</v>
      </c>
      <c r="C35" s="138"/>
      <c r="D35" s="138"/>
      <c r="E35" s="138"/>
      <c r="F35" s="138"/>
      <c r="G35" s="138"/>
      <c r="H35" s="138"/>
      <c r="I35" s="138"/>
      <c r="J35" s="138"/>
      <c r="K35" s="138">
        <f t="shared" si="1"/>
        <v>0</v>
      </c>
      <c r="L35" s="138"/>
      <c r="M35" s="138"/>
      <c r="N35" s="138"/>
      <c r="O35" s="146"/>
      <c r="P35" s="137" t="s">
        <v>75</v>
      </c>
      <c r="Q35" s="141"/>
      <c r="R35" s="141"/>
      <c r="S35" s="141"/>
      <c r="U35" s="68"/>
    </row>
    <row r="36" spans="1:29" x14ac:dyDescent="0.35">
      <c r="A36" s="136">
        <v>26</v>
      </c>
      <c r="B36" s="137" t="s">
        <v>48</v>
      </c>
      <c r="C36" s="138">
        <v>296.95</v>
      </c>
      <c r="D36" s="139">
        <v>0</v>
      </c>
      <c r="E36" s="139">
        <v>0</v>
      </c>
      <c r="F36" s="139">
        <v>0</v>
      </c>
      <c r="G36" s="138">
        <f>C36+E36-F36</f>
        <v>296.95</v>
      </c>
      <c r="H36" s="138">
        <f>251.7-20</f>
        <v>231.7</v>
      </c>
      <c r="I36" s="138">
        <f>44.5+20</f>
        <v>64.5</v>
      </c>
      <c r="J36" s="138">
        <v>0.75</v>
      </c>
      <c r="K36" s="138">
        <f t="shared" si="1"/>
        <v>296.95</v>
      </c>
      <c r="L36" s="138">
        <v>6675</v>
      </c>
      <c r="M36" s="138">
        <v>150</v>
      </c>
      <c r="N36" s="138">
        <f>O36*I36</f>
        <v>22325.384999999998</v>
      </c>
      <c r="O36" s="146">
        <v>346.13</v>
      </c>
      <c r="P36" s="137" t="s">
        <v>72</v>
      </c>
      <c r="Q36" s="143">
        <f>444-100</f>
        <v>344</v>
      </c>
      <c r="R36" s="142"/>
      <c r="S36" s="142"/>
      <c r="U36" s="68"/>
      <c r="V36">
        <v>0</v>
      </c>
      <c r="W36" s="28">
        <v>0</v>
      </c>
    </row>
    <row r="37" spans="1:29" x14ac:dyDescent="0.35">
      <c r="A37" s="136">
        <v>27</v>
      </c>
      <c r="B37" s="137" t="s">
        <v>49</v>
      </c>
      <c r="C37" s="138"/>
      <c r="D37" s="138"/>
      <c r="E37" s="138"/>
      <c r="F37" s="138"/>
      <c r="G37" s="138"/>
      <c r="H37" s="138"/>
      <c r="I37" s="138"/>
      <c r="J37" s="138"/>
      <c r="K37" s="138">
        <f t="shared" si="1"/>
        <v>0</v>
      </c>
      <c r="L37" s="138"/>
      <c r="M37" s="138"/>
      <c r="N37" s="138"/>
      <c r="O37" s="146"/>
      <c r="P37" s="137" t="s">
        <v>84</v>
      </c>
      <c r="Q37" s="141"/>
      <c r="R37" s="141"/>
      <c r="S37" s="141"/>
      <c r="U37" s="68"/>
    </row>
    <row r="38" spans="1:29" x14ac:dyDescent="0.35">
      <c r="A38" s="136">
        <v>28</v>
      </c>
      <c r="B38" s="137" t="s">
        <v>50</v>
      </c>
      <c r="C38" s="138"/>
      <c r="D38" s="138"/>
      <c r="E38" s="138"/>
      <c r="F38" s="138"/>
      <c r="G38" s="138"/>
      <c r="H38" s="138"/>
      <c r="I38" s="138"/>
      <c r="J38" s="138"/>
      <c r="K38" s="138">
        <f t="shared" si="1"/>
        <v>0</v>
      </c>
      <c r="L38" s="138"/>
      <c r="M38" s="138"/>
      <c r="N38" s="138"/>
      <c r="O38" s="138"/>
      <c r="P38" s="137" t="s">
        <v>77</v>
      </c>
      <c r="Q38" s="141"/>
      <c r="R38" s="141"/>
      <c r="S38" s="141"/>
    </row>
    <row r="39" spans="1:29" x14ac:dyDescent="0.35">
      <c r="A39" s="136">
        <v>29</v>
      </c>
      <c r="B39" s="137" t="s">
        <v>51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7" t="s">
        <v>82</v>
      </c>
      <c r="Q39" s="141"/>
      <c r="R39" s="141"/>
      <c r="S39" s="141"/>
      <c r="AB39" t="e">
        <f>CONCATENATE(#REF!,B40)</f>
        <v>#REF!</v>
      </c>
      <c r="AC39" t="str">
        <f>IF(L40="","",L40/M40)</f>
        <v/>
      </c>
    </row>
    <row r="40" spans="1:29" x14ac:dyDescent="0.35">
      <c r="A40" s="136">
        <v>30</v>
      </c>
      <c r="B40" s="137" t="s">
        <v>52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7" t="s">
        <v>83</v>
      </c>
      <c r="Q40" s="141"/>
      <c r="R40" s="141"/>
      <c r="S40" s="141"/>
    </row>
    <row r="41" spans="1:29" x14ac:dyDescent="0.35">
      <c r="A41" s="123"/>
      <c r="B41" s="123"/>
      <c r="C41" s="123"/>
      <c r="D41" s="123"/>
      <c r="E41" s="123"/>
      <c r="F41" s="123"/>
      <c r="G41" s="150"/>
      <c r="H41" s="150"/>
      <c r="I41" s="150"/>
      <c r="J41" s="150"/>
      <c r="K41" s="150"/>
      <c r="L41" s="123"/>
      <c r="M41" s="150"/>
      <c r="N41" s="123"/>
      <c r="O41" s="123"/>
      <c r="P41" s="123"/>
      <c r="Q41" s="123"/>
      <c r="R41" s="123"/>
      <c r="S41" s="123"/>
    </row>
    <row r="42" spans="1:29" x14ac:dyDescent="0.35">
      <c r="C42" s="277" t="s">
        <v>112</v>
      </c>
      <c r="D42" s="277"/>
      <c r="E42" s="123"/>
      <c r="F42" s="123"/>
      <c r="G42" s="150"/>
      <c r="H42" s="150"/>
      <c r="I42" s="150"/>
      <c r="J42" s="150"/>
      <c r="K42" s="150"/>
      <c r="L42" s="123"/>
      <c r="M42" s="150"/>
      <c r="N42" s="123"/>
      <c r="O42" s="123"/>
      <c r="P42" s="277" t="s">
        <v>110</v>
      </c>
      <c r="Q42" s="277"/>
      <c r="R42" s="277"/>
    </row>
    <row r="43" spans="1:29" ht="10.5" customHeight="1" x14ac:dyDescent="0.35">
      <c r="C43" s="188"/>
      <c r="D43" s="188"/>
      <c r="E43" s="123"/>
      <c r="F43" s="123"/>
      <c r="G43" s="150"/>
      <c r="H43" s="150"/>
      <c r="I43" s="150"/>
      <c r="J43" s="150"/>
      <c r="K43" s="150"/>
      <c r="L43" s="123"/>
      <c r="M43" s="150"/>
      <c r="N43" s="123"/>
      <c r="O43" s="123"/>
      <c r="P43" s="188"/>
      <c r="Q43" s="188"/>
      <c r="R43" s="188"/>
    </row>
    <row r="44" spans="1:29" ht="10.5" customHeight="1" x14ac:dyDescent="0.35">
      <c r="C44" s="188"/>
      <c r="D44" s="188"/>
      <c r="E44" s="123"/>
      <c r="F44" s="123"/>
      <c r="G44" s="150"/>
      <c r="H44" s="150"/>
      <c r="I44" s="150"/>
      <c r="J44" s="150"/>
      <c r="K44" s="150"/>
      <c r="L44" s="123"/>
      <c r="M44" s="150"/>
      <c r="N44" s="123"/>
      <c r="O44" s="123"/>
      <c r="P44" s="188"/>
      <c r="Q44" s="188"/>
      <c r="R44" s="188"/>
    </row>
    <row r="45" spans="1:29" ht="10.5" customHeight="1" x14ac:dyDescent="0.35">
      <c r="C45" s="188"/>
      <c r="D45" s="188"/>
      <c r="E45" s="123"/>
      <c r="F45" s="123"/>
      <c r="G45" s="150"/>
      <c r="H45" s="150"/>
      <c r="I45" s="150"/>
      <c r="J45" s="150"/>
      <c r="K45" s="150"/>
      <c r="L45" s="123"/>
      <c r="M45" s="150"/>
      <c r="N45" s="123"/>
      <c r="O45" s="123"/>
      <c r="P45" s="188"/>
      <c r="Q45" s="188"/>
      <c r="R45" s="188"/>
    </row>
    <row r="46" spans="1:29" x14ac:dyDescent="0.35">
      <c r="C46" s="278" t="s">
        <v>115</v>
      </c>
      <c r="D46" s="278"/>
      <c r="E46" s="123"/>
      <c r="F46" s="123"/>
      <c r="G46" s="150"/>
      <c r="H46" s="150"/>
      <c r="I46" s="150"/>
      <c r="J46" s="150"/>
      <c r="K46" s="150"/>
      <c r="L46" s="123"/>
      <c r="M46" s="150"/>
      <c r="N46" s="123"/>
      <c r="O46" s="123"/>
      <c r="P46" s="278" t="s">
        <v>161</v>
      </c>
      <c r="Q46" s="278"/>
      <c r="R46" s="278"/>
    </row>
    <row r="47" spans="1:29" x14ac:dyDescent="0.35">
      <c r="C47" s="277" t="s">
        <v>116</v>
      </c>
      <c r="D47" s="277"/>
      <c r="E47" s="123"/>
      <c r="F47" s="123"/>
      <c r="G47" s="150"/>
      <c r="H47" s="150"/>
      <c r="I47" s="150"/>
      <c r="J47" s="150"/>
      <c r="K47" s="150"/>
      <c r="L47" s="123"/>
      <c r="M47" s="150"/>
      <c r="N47" s="123"/>
      <c r="O47" s="123"/>
      <c r="P47" s="279"/>
      <c r="Q47" s="279"/>
      <c r="R47" s="279"/>
    </row>
    <row r="48" spans="1:29" x14ac:dyDescent="0.35">
      <c r="C48" s="123"/>
      <c r="D48" s="123"/>
      <c r="E48" s="123"/>
      <c r="F48" s="123"/>
      <c r="G48" s="150"/>
      <c r="H48" s="150"/>
      <c r="I48" s="150"/>
      <c r="J48" s="150"/>
      <c r="K48" s="150"/>
      <c r="L48" s="123"/>
      <c r="M48" s="150"/>
      <c r="N48" s="123"/>
      <c r="O48" s="123"/>
      <c r="P48" s="123"/>
      <c r="Q48" s="123"/>
      <c r="R48" s="123"/>
    </row>
  </sheetData>
  <mergeCells count="17">
    <mergeCell ref="C42:D42"/>
    <mergeCell ref="C46:D46"/>
    <mergeCell ref="C47:D47"/>
    <mergeCell ref="P42:R42"/>
    <mergeCell ref="P46:R46"/>
    <mergeCell ref="P47:R47"/>
    <mergeCell ref="B8:B10"/>
    <mergeCell ref="A3:S3"/>
    <mergeCell ref="D8:K8"/>
    <mergeCell ref="L8:O8"/>
    <mergeCell ref="D9:G9"/>
    <mergeCell ref="H9:K9"/>
    <mergeCell ref="L9:M9"/>
    <mergeCell ref="N9:O9"/>
    <mergeCell ref="Q9:R9"/>
    <mergeCell ref="C8:C10"/>
    <mergeCell ref="A8:A10"/>
  </mergeCells>
  <pageMargins left="0.25" right="0.25" top="0.39370078740157499" bottom="0.43307086614173201" header="0.31496062992126" footer="0.31496062992126"/>
  <pageSetup paperSize="5" scale="7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D47"/>
  <sheetViews>
    <sheetView topLeftCell="B1" zoomScaleNormal="100" workbookViewId="0">
      <pane ySplit="4380" topLeftCell="A19" activePane="bottomLeft"/>
      <selection activeCell="B1" sqref="B1"/>
      <selection pane="bottomLeft" activeCell="O22" sqref="O22"/>
    </sheetView>
  </sheetViews>
  <sheetFormatPr defaultRowHeight="14.5" x14ac:dyDescent="0.35"/>
  <cols>
    <col min="1" max="1" width="5.453125" customWidth="1"/>
    <col min="2" max="2" width="20.1796875" customWidth="1"/>
    <col min="3" max="3" width="16.54296875" customWidth="1"/>
    <col min="4" max="4" width="13.81640625" customWidth="1"/>
    <col min="5" max="5" width="13.81640625" bestFit="1" customWidth="1"/>
    <col min="6" max="6" width="12.81640625" bestFit="1" customWidth="1"/>
    <col min="7" max="11" width="9.453125" style="32" bestFit="1" customWidth="1"/>
    <col min="12" max="12" width="15.26953125" customWidth="1"/>
    <col min="13" max="13" width="12.54296875" customWidth="1"/>
    <col min="14" max="15" width="15" customWidth="1"/>
    <col min="16" max="16" width="15.453125" customWidth="1"/>
    <col min="17" max="17" width="13.54296875" customWidth="1"/>
    <col min="18" max="18" width="9.1796875" customWidth="1"/>
    <col min="19" max="19" width="5.7265625" customWidth="1"/>
    <col min="20" max="20" width="7.1796875" customWidth="1"/>
    <col min="22" max="22" width="16.54296875" customWidth="1"/>
    <col min="23" max="23" width="11.54296875" bestFit="1" customWidth="1"/>
    <col min="24" max="24" width="12" bestFit="1" customWidth="1"/>
    <col min="25" max="25" width="11.1796875" bestFit="1" customWidth="1"/>
    <col min="29" max="30" width="9.1796875" hidden="1" customWidth="1"/>
  </cols>
  <sheetData>
    <row r="1" spans="1:30" x14ac:dyDescent="0.35">
      <c r="A1" s="1" t="s">
        <v>57</v>
      </c>
      <c r="G1" s="30"/>
      <c r="H1" s="30"/>
      <c r="I1" s="30"/>
      <c r="J1" s="30"/>
      <c r="K1" s="30"/>
    </row>
    <row r="2" spans="1:30" x14ac:dyDescent="0.35">
      <c r="A2" s="2"/>
      <c r="G2" s="30"/>
      <c r="H2" s="30"/>
      <c r="I2" s="30"/>
      <c r="J2" s="30"/>
      <c r="K2" s="30"/>
    </row>
    <row r="3" spans="1:30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113"/>
    </row>
    <row r="4" spans="1:30" x14ac:dyDescent="0.35">
      <c r="A4" s="1"/>
      <c r="G4" s="30"/>
      <c r="H4" s="30"/>
      <c r="I4" s="30"/>
      <c r="J4" s="30"/>
      <c r="K4" s="30"/>
      <c r="R4" s="5"/>
      <c r="S4" s="6"/>
      <c r="T4" s="6"/>
    </row>
    <row r="5" spans="1:30" x14ac:dyDescent="0.35">
      <c r="A5" s="122" t="s">
        <v>175</v>
      </c>
      <c r="B5" s="123"/>
      <c r="C5" s="123" t="s">
        <v>178</v>
      </c>
      <c r="D5" s="123"/>
      <c r="E5" s="123"/>
      <c r="F5" s="123"/>
      <c r="G5" s="124"/>
      <c r="H5" s="124"/>
      <c r="I5" s="124"/>
      <c r="J5" s="124"/>
      <c r="K5" s="124"/>
      <c r="L5" s="123"/>
      <c r="M5" s="123"/>
      <c r="N5" s="123"/>
      <c r="O5" s="123"/>
      <c r="P5" s="123"/>
      <c r="Q5" s="123" t="s">
        <v>60</v>
      </c>
      <c r="R5" s="122">
        <v>2019</v>
      </c>
      <c r="S5" s="123"/>
    </row>
    <row r="6" spans="1:30" x14ac:dyDescent="0.35">
      <c r="A6" s="122" t="s">
        <v>176</v>
      </c>
      <c r="B6" s="123"/>
      <c r="C6" s="123" t="s">
        <v>172</v>
      </c>
      <c r="D6" s="123"/>
      <c r="E6" s="123"/>
      <c r="F6" s="123"/>
      <c r="G6" s="124"/>
      <c r="H6" s="124"/>
      <c r="I6" s="124"/>
      <c r="J6" s="124"/>
      <c r="K6" s="124"/>
      <c r="L6" s="123"/>
      <c r="M6" s="123"/>
      <c r="N6" s="123"/>
      <c r="O6" s="123"/>
      <c r="P6" s="123"/>
      <c r="Q6" s="123" t="s">
        <v>93</v>
      </c>
      <c r="R6" s="122" t="s">
        <v>202</v>
      </c>
      <c r="S6" s="123"/>
    </row>
    <row r="7" spans="1:30" x14ac:dyDescent="0.35">
      <c r="A7" s="122" t="s">
        <v>177</v>
      </c>
      <c r="B7" s="123"/>
      <c r="C7" s="123" t="s">
        <v>174</v>
      </c>
      <c r="D7" s="123"/>
      <c r="E7" s="123"/>
      <c r="F7" s="123"/>
      <c r="G7" s="124"/>
      <c r="H7" s="124"/>
      <c r="I7" s="124"/>
      <c r="J7" s="124"/>
      <c r="K7" s="124"/>
      <c r="L7" s="123"/>
      <c r="M7" s="123"/>
      <c r="N7" s="123"/>
      <c r="O7" s="123"/>
      <c r="P7" s="123"/>
      <c r="Q7" s="123"/>
      <c r="R7" s="123"/>
      <c r="S7" s="123"/>
    </row>
    <row r="8" spans="1:30" s="11" customFormat="1" x14ac:dyDescent="0.35">
      <c r="A8" s="271" t="s">
        <v>3</v>
      </c>
      <c r="B8" s="271" t="s">
        <v>4</v>
      </c>
      <c r="C8" s="271" t="s">
        <v>23</v>
      </c>
      <c r="D8" s="271" t="s">
        <v>6</v>
      </c>
      <c r="E8" s="271"/>
      <c r="F8" s="271"/>
      <c r="G8" s="271"/>
      <c r="H8" s="271"/>
      <c r="I8" s="271"/>
      <c r="J8" s="271"/>
      <c r="K8" s="271"/>
      <c r="L8" s="271" t="s">
        <v>22</v>
      </c>
      <c r="M8" s="271"/>
      <c r="N8" s="271"/>
      <c r="O8" s="271"/>
      <c r="P8" s="128"/>
      <c r="Q8" s="129"/>
      <c r="R8" s="130"/>
      <c r="S8" s="128"/>
      <c r="AC8" s="11" t="s">
        <v>54</v>
      </c>
      <c r="AD8" s="11" t="s">
        <v>54</v>
      </c>
    </row>
    <row r="9" spans="1:30" s="11" customFormat="1" ht="29" x14ac:dyDescent="0.35">
      <c r="A9" s="271"/>
      <c r="B9" s="271"/>
      <c r="C9" s="271"/>
      <c r="D9" s="273" t="s">
        <v>7</v>
      </c>
      <c r="E9" s="273"/>
      <c r="F9" s="273"/>
      <c r="G9" s="273"/>
      <c r="H9" s="274" t="s">
        <v>12</v>
      </c>
      <c r="I9" s="274"/>
      <c r="J9" s="274"/>
      <c r="K9" s="274"/>
      <c r="L9" s="273" t="s">
        <v>13</v>
      </c>
      <c r="M9" s="273"/>
      <c r="N9" s="273" t="s">
        <v>15</v>
      </c>
      <c r="O9" s="273"/>
      <c r="P9" s="131"/>
      <c r="Q9" s="275" t="s">
        <v>17</v>
      </c>
      <c r="R9" s="276"/>
      <c r="S9" s="131" t="s">
        <v>104</v>
      </c>
      <c r="T9" s="114"/>
      <c r="V9" s="11" t="s">
        <v>15</v>
      </c>
      <c r="AC9" s="11" t="s">
        <v>56</v>
      </c>
      <c r="AD9" s="11" t="s">
        <v>56</v>
      </c>
    </row>
    <row r="10" spans="1:30" s="11" customFormat="1" ht="29" x14ac:dyDescent="0.35">
      <c r="A10" s="271"/>
      <c r="B10" s="271"/>
      <c r="C10" s="271"/>
      <c r="D10" s="132" t="s">
        <v>8</v>
      </c>
      <c r="E10" s="132" t="s">
        <v>9</v>
      </c>
      <c r="F10" s="132" t="s">
        <v>10</v>
      </c>
      <c r="G10" s="134" t="s">
        <v>11</v>
      </c>
      <c r="H10" s="134" t="s">
        <v>0</v>
      </c>
      <c r="I10" s="134" t="s">
        <v>1</v>
      </c>
      <c r="J10" s="134" t="s">
        <v>2</v>
      </c>
      <c r="K10" s="134" t="s">
        <v>11</v>
      </c>
      <c r="L10" s="132" t="s">
        <v>14</v>
      </c>
      <c r="M10" s="132" t="s">
        <v>21</v>
      </c>
      <c r="N10" s="132" t="s">
        <v>14</v>
      </c>
      <c r="O10" s="132" t="s">
        <v>21</v>
      </c>
      <c r="P10" s="135" t="s">
        <v>16</v>
      </c>
      <c r="Q10" s="132" t="s">
        <v>19</v>
      </c>
      <c r="R10" s="132" t="s">
        <v>20</v>
      </c>
      <c r="S10" s="135"/>
      <c r="T10" s="114"/>
      <c r="V10" s="11" t="s">
        <v>14</v>
      </c>
      <c r="W10" s="11" t="s">
        <v>21</v>
      </c>
      <c r="AC10" s="11" t="s">
        <v>55</v>
      </c>
      <c r="AD10" s="11" t="s">
        <v>55</v>
      </c>
    </row>
    <row r="11" spans="1:30" x14ac:dyDescent="0.35">
      <c r="A11" s="141">
        <v>1</v>
      </c>
      <c r="B11" s="137" t="s">
        <v>5</v>
      </c>
      <c r="C11" s="165">
        <v>31.1</v>
      </c>
      <c r="D11" s="166">
        <v>0</v>
      </c>
      <c r="E11" s="166">
        <f>15-15</f>
        <v>0</v>
      </c>
      <c r="F11" s="166">
        <v>0</v>
      </c>
      <c r="G11" s="165">
        <f>C11+E11-F11</f>
        <v>31.1</v>
      </c>
      <c r="H11" s="165">
        <f>4+5-6</f>
        <v>3</v>
      </c>
      <c r="I11" s="165">
        <f>26.1+5-4</f>
        <v>27.1</v>
      </c>
      <c r="J11" s="167">
        <f>1+5-5</f>
        <v>1</v>
      </c>
      <c r="K11" s="167">
        <f>SUM(H11:J11)</f>
        <v>31.1</v>
      </c>
      <c r="L11" s="167">
        <v>34660.9</v>
      </c>
      <c r="M11" s="167">
        <v>1279</v>
      </c>
      <c r="N11" s="167">
        <f>O11*I11</f>
        <v>25474</v>
      </c>
      <c r="O11" s="167">
        <v>940</v>
      </c>
      <c r="P11" s="137" t="s">
        <v>67</v>
      </c>
      <c r="Q11" s="141">
        <f>76+30</f>
        <v>106</v>
      </c>
      <c r="R11" s="141"/>
      <c r="S11" s="141"/>
      <c r="T11" s="104"/>
      <c r="V11">
        <v>13993.356000000002</v>
      </c>
      <c r="W11" s="28">
        <v>516.36</v>
      </c>
      <c r="X11" s="28"/>
      <c r="Y11" s="28">
        <f>W11*2</f>
        <v>1032.72</v>
      </c>
      <c r="AC11" t="e">
        <f>CONCATENATE(#REF!,B11)</f>
        <v>#REF!</v>
      </c>
      <c r="AD11">
        <f>IF(L11="","",L11/M11)</f>
        <v>27.1</v>
      </c>
    </row>
    <row r="12" spans="1:30" x14ac:dyDescent="0.35">
      <c r="A12" s="141">
        <v>2</v>
      </c>
      <c r="B12" s="137" t="s">
        <v>25</v>
      </c>
      <c r="C12" s="165"/>
      <c r="D12" s="165"/>
      <c r="E12" s="165"/>
      <c r="F12" s="165"/>
      <c r="G12" s="165"/>
      <c r="H12" s="165"/>
      <c r="I12" s="165"/>
      <c r="J12" s="167"/>
      <c r="K12" s="167"/>
      <c r="L12" s="167"/>
      <c r="M12" s="167"/>
      <c r="N12" s="167"/>
      <c r="O12" s="167"/>
      <c r="P12" s="137" t="s">
        <v>68</v>
      </c>
      <c r="Q12" s="141"/>
      <c r="R12" s="141"/>
      <c r="S12" s="141"/>
      <c r="T12" s="104"/>
      <c r="AC12" t="e">
        <f>CONCATENATE(#REF!,B12)</f>
        <v>#REF!</v>
      </c>
      <c r="AD12" t="str">
        <f t="shared" ref="AD12:AD20" si="0">IF(L12="","",L12/M12)</f>
        <v/>
      </c>
    </row>
    <row r="13" spans="1:30" x14ac:dyDescent="0.35">
      <c r="A13" s="141">
        <v>3</v>
      </c>
      <c r="B13" s="137" t="s">
        <v>26</v>
      </c>
      <c r="C13" s="165"/>
      <c r="D13" s="165"/>
      <c r="E13" s="165"/>
      <c r="F13" s="165"/>
      <c r="G13" s="165"/>
      <c r="H13" s="165"/>
      <c r="I13" s="165"/>
      <c r="J13" s="167"/>
      <c r="K13" s="167"/>
      <c r="L13" s="167"/>
      <c r="M13" s="167"/>
      <c r="N13" s="167"/>
      <c r="O13" s="167"/>
      <c r="P13" s="137" t="s">
        <v>68</v>
      </c>
      <c r="Q13" s="141"/>
      <c r="R13" s="141"/>
      <c r="S13" s="141"/>
      <c r="T13" s="104"/>
      <c r="AC13" t="e">
        <f>CONCATENATE(#REF!,B13)</f>
        <v>#REF!</v>
      </c>
      <c r="AD13" t="str">
        <f t="shared" si="0"/>
        <v/>
      </c>
    </row>
    <row r="14" spans="1:30" x14ac:dyDescent="0.35">
      <c r="A14" s="141">
        <v>4</v>
      </c>
      <c r="B14" s="137" t="s">
        <v>27</v>
      </c>
      <c r="C14" s="165"/>
      <c r="D14" s="165"/>
      <c r="E14" s="165"/>
      <c r="F14" s="165"/>
      <c r="G14" s="165"/>
      <c r="H14" s="165"/>
      <c r="I14" s="165"/>
      <c r="J14" s="167"/>
      <c r="K14" s="167"/>
      <c r="L14" s="167"/>
      <c r="M14" s="167"/>
      <c r="N14" s="167"/>
      <c r="O14" s="167"/>
      <c r="P14" s="137" t="s">
        <v>69</v>
      </c>
      <c r="Q14" s="141"/>
      <c r="R14" s="141"/>
      <c r="S14" s="141"/>
      <c r="T14" s="104"/>
      <c r="AC14" t="e">
        <f>CONCATENATE(#REF!,B14)</f>
        <v>#REF!</v>
      </c>
      <c r="AD14" t="str">
        <f t="shared" si="0"/>
        <v/>
      </c>
    </row>
    <row r="15" spans="1:30" x14ac:dyDescent="0.35">
      <c r="A15" s="141">
        <v>5</v>
      </c>
      <c r="B15" s="137" t="s">
        <v>28</v>
      </c>
      <c r="C15" s="165">
        <v>525.28</v>
      </c>
      <c r="D15" s="166">
        <v>0</v>
      </c>
      <c r="E15" s="165">
        <v>1</v>
      </c>
      <c r="F15" s="166">
        <v>0</v>
      </c>
      <c r="G15" s="165">
        <f>C15+E15-F15</f>
        <v>526.28</v>
      </c>
      <c r="H15" s="165">
        <f>30.17-3</f>
        <v>27.17</v>
      </c>
      <c r="I15" s="165">
        <f>294+3</f>
        <v>297</v>
      </c>
      <c r="J15" s="167">
        <f>255.2-52.09-1</f>
        <v>202.10999999999999</v>
      </c>
      <c r="K15" s="167">
        <f>SUM(H15:J15)</f>
        <v>526.28</v>
      </c>
      <c r="L15" s="167">
        <v>194390</v>
      </c>
      <c r="M15" s="167">
        <v>100</v>
      </c>
      <c r="N15" s="168">
        <f>O15*I15</f>
        <v>102539.25</v>
      </c>
      <c r="O15" s="168">
        <v>345.25</v>
      </c>
      <c r="P15" s="137" t="s">
        <v>70</v>
      </c>
      <c r="Q15" s="143">
        <v>1020</v>
      </c>
      <c r="R15" s="142"/>
      <c r="S15" s="141"/>
      <c r="T15" s="104"/>
      <c r="V15" s="28">
        <v>0</v>
      </c>
      <c r="W15">
        <v>0</v>
      </c>
      <c r="Y15">
        <v>196.65</v>
      </c>
      <c r="AC15" t="e">
        <f>CONCATENATE(#REF!,B15)</f>
        <v>#REF!</v>
      </c>
      <c r="AD15">
        <f t="shared" si="0"/>
        <v>1943.9</v>
      </c>
    </row>
    <row r="16" spans="1:30" x14ac:dyDescent="0.35">
      <c r="A16" s="141">
        <v>6</v>
      </c>
      <c r="B16" s="137" t="s">
        <v>29</v>
      </c>
      <c r="C16" s="165"/>
      <c r="D16" s="165"/>
      <c r="E16" s="165"/>
      <c r="F16" s="165"/>
      <c r="G16" s="165"/>
      <c r="H16" s="165"/>
      <c r="I16" s="165"/>
      <c r="J16" s="167"/>
      <c r="K16" s="167"/>
      <c r="L16" s="167"/>
      <c r="M16" s="167"/>
      <c r="N16" s="167"/>
      <c r="O16" s="167"/>
      <c r="P16" s="137" t="s">
        <v>70</v>
      </c>
      <c r="Q16" s="143"/>
      <c r="R16" s="141"/>
      <c r="S16" s="141"/>
      <c r="T16" s="104"/>
      <c r="AC16" t="e">
        <f>CONCATENATE(#REF!,B16)</f>
        <v>#REF!</v>
      </c>
      <c r="AD16" t="str">
        <f t="shared" si="0"/>
        <v/>
      </c>
    </row>
    <row r="17" spans="1:30" x14ac:dyDescent="0.35">
      <c r="A17" s="141">
        <v>7</v>
      </c>
      <c r="B17" s="137" t="s">
        <v>30</v>
      </c>
      <c r="C17" s="165"/>
      <c r="D17" s="165"/>
      <c r="E17" s="165"/>
      <c r="F17" s="165"/>
      <c r="G17" s="165"/>
      <c r="H17" s="165"/>
      <c r="I17" s="165"/>
      <c r="J17" s="167"/>
      <c r="K17" s="167"/>
      <c r="L17" s="167"/>
      <c r="M17" s="167"/>
      <c r="N17" s="167"/>
      <c r="O17" s="167"/>
      <c r="P17" s="137" t="s">
        <v>71</v>
      </c>
      <c r="Q17" s="143"/>
      <c r="R17" s="141"/>
      <c r="S17" s="141"/>
      <c r="T17" s="104"/>
      <c r="AC17" t="e">
        <f>CONCATENATE(#REF!,B17)</f>
        <v>#REF!</v>
      </c>
      <c r="AD17" t="str">
        <f t="shared" si="0"/>
        <v/>
      </c>
    </row>
    <row r="18" spans="1:30" x14ac:dyDescent="0.35">
      <c r="A18" s="141">
        <v>8</v>
      </c>
      <c r="B18" s="137" t="s">
        <v>31</v>
      </c>
      <c r="C18" s="165"/>
      <c r="D18" s="165"/>
      <c r="E18" s="165"/>
      <c r="F18" s="165"/>
      <c r="G18" s="165"/>
      <c r="H18" s="165"/>
      <c r="I18" s="165"/>
      <c r="J18" s="167"/>
      <c r="K18" s="167"/>
      <c r="L18" s="167"/>
      <c r="M18" s="167"/>
      <c r="N18" s="167"/>
      <c r="O18" s="167"/>
      <c r="P18" s="137" t="s">
        <v>72</v>
      </c>
      <c r="Q18" s="143"/>
      <c r="R18" s="141"/>
      <c r="S18" s="141"/>
      <c r="T18" s="104"/>
      <c r="AC18" t="e">
        <f>CONCATENATE(#REF!,B18)</f>
        <v>#REF!</v>
      </c>
      <c r="AD18" t="str">
        <f t="shared" si="0"/>
        <v/>
      </c>
    </row>
    <row r="19" spans="1:30" x14ac:dyDescent="0.35">
      <c r="A19" s="141">
        <v>9</v>
      </c>
      <c r="B19" s="137" t="s">
        <v>32</v>
      </c>
      <c r="C19" s="165"/>
      <c r="D19" s="165"/>
      <c r="E19" s="165"/>
      <c r="F19" s="165"/>
      <c r="G19" s="165"/>
      <c r="H19" s="165"/>
      <c r="I19" s="165"/>
      <c r="J19" s="167"/>
      <c r="K19" s="167"/>
      <c r="L19" s="167"/>
      <c r="M19" s="167"/>
      <c r="N19" s="167"/>
      <c r="O19" s="167"/>
      <c r="P19" s="137" t="s">
        <v>72</v>
      </c>
      <c r="Q19" s="143"/>
      <c r="R19" s="141"/>
      <c r="S19" s="141"/>
      <c r="T19" s="104"/>
      <c r="AC19" t="e">
        <f>CONCATENATE(#REF!,B19)</f>
        <v>#REF!</v>
      </c>
      <c r="AD19" t="str">
        <f t="shared" si="0"/>
        <v/>
      </c>
    </row>
    <row r="20" spans="1:30" x14ac:dyDescent="0.35">
      <c r="A20" s="141">
        <v>10</v>
      </c>
      <c r="B20" s="137" t="s">
        <v>33</v>
      </c>
      <c r="C20" s="165"/>
      <c r="D20" s="165"/>
      <c r="E20" s="165"/>
      <c r="F20" s="165"/>
      <c r="G20" s="165"/>
      <c r="H20" s="165"/>
      <c r="I20" s="165"/>
      <c r="J20" s="167"/>
      <c r="K20" s="167"/>
      <c r="L20" s="167"/>
      <c r="M20" s="167"/>
      <c r="N20" s="167"/>
      <c r="O20" s="167"/>
      <c r="P20" s="137" t="s">
        <v>72</v>
      </c>
      <c r="Q20" s="143"/>
      <c r="R20" s="141"/>
      <c r="S20" s="141"/>
      <c r="T20" s="104"/>
      <c r="AC20" t="e">
        <f>CONCATENATE(#REF!,B20)</f>
        <v>#REF!</v>
      </c>
      <c r="AD20" t="str">
        <f t="shared" si="0"/>
        <v/>
      </c>
    </row>
    <row r="21" spans="1:30" x14ac:dyDescent="0.35">
      <c r="A21" s="141">
        <v>11</v>
      </c>
      <c r="B21" s="144" t="s">
        <v>96</v>
      </c>
      <c r="C21" s="165"/>
      <c r="D21" s="165"/>
      <c r="E21" s="165"/>
      <c r="F21" s="165"/>
      <c r="G21" s="165"/>
      <c r="H21" s="165"/>
      <c r="I21" s="165"/>
      <c r="J21" s="167"/>
      <c r="K21" s="167"/>
      <c r="L21" s="167"/>
      <c r="M21" s="167"/>
      <c r="N21" s="167"/>
      <c r="O21" s="167"/>
      <c r="P21" s="137"/>
      <c r="Q21" s="137"/>
      <c r="R21" s="137"/>
      <c r="S21" s="137"/>
      <c r="T21" s="103"/>
      <c r="AC21" t="e">
        <f>CONCATENATE(#REF!,B22)</f>
        <v>#REF!</v>
      </c>
      <c r="AD21">
        <f t="shared" ref="AD21:AD37" si="1">IF(L22="","",L22/M22)</f>
        <v>531.1</v>
      </c>
    </row>
    <row r="22" spans="1:30" x14ac:dyDescent="0.35">
      <c r="A22" s="141">
        <v>12</v>
      </c>
      <c r="B22" s="137" t="s">
        <v>34</v>
      </c>
      <c r="C22" s="165">
        <f>795.93-20.95</f>
        <v>774.9799999999999</v>
      </c>
      <c r="D22" s="166">
        <f>50-50</f>
        <v>0</v>
      </c>
      <c r="E22" s="166">
        <f>123.2-123.2</f>
        <v>0</v>
      </c>
      <c r="F22" s="165">
        <f>13-13</f>
        <v>0</v>
      </c>
      <c r="G22" s="165">
        <f>C22+E22-F22</f>
        <v>774.9799999999999</v>
      </c>
      <c r="H22" s="165">
        <f>233.48-20</f>
        <v>213.48</v>
      </c>
      <c r="I22" s="165">
        <f>531.1+20</f>
        <v>551.1</v>
      </c>
      <c r="J22" s="167">
        <v>10.4</v>
      </c>
      <c r="K22" s="167">
        <f t="shared" ref="K22:K24" si="2">SUM(H22:J22)</f>
        <v>774.98</v>
      </c>
      <c r="L22" s="167">
        <v>432846.5</v>
      </c>
      <c r="M22" s="167">
        <v>815</v>
      </c>
      <c r="N22" s="167">
        <f>O22*I22</f>
        <v>650490.88500000001</v>
      </c>
      <c r="O22" s="167">
        <v>1180.3499999999999</v>
      </c>
      <c r="P22" s="137" t="s">
        <v>73</v>
      </c>
      <c r="Q22" s="143">
        <f>665-300+300</f>
        <v>665</v>
      </c>
      <c r="R22" s="141"/>
      <c r="S22" s="141"/>
      <c r="T22" s="104"/>
      <c r="V22">
        <v>209465.84</v>
      </c>
      <c r="W22" s="28">
        <v>394.4</v>
      </c>
      <c r="X22" s="28"/>
      <c r="AC22" t="e">
        <f>CONCATENATE(#REF!,B23)</f>
        <v>#REF!</v>
      </c>
      <c r="AD22">
        <f t="shared" si="1"/>
        <v>505</v>
      </c>
    </row>
    <row r="23" spans="1:30" x14ac:dyDescent="0.35">
      <c r="A23" s="141">
        <v>13</v>
      </c>
      <c r="B23" s="137" t="s">
        <v>35</v>
      </c>
      <c r="C23" s="165">
        <f>771.5+1.6</f>
        <v>773.1</v>
      </c>
      <c r="D23" s="166">
        <v>0</v>
      </c>
      <c r="E23" s="166">
        <v>0</v>
      </c>
      <c r="F23" s="166">
        <v>0</v>
      </c>
      <c r="G23" s="165">
        <f>C23+E23-F23</f>
        <v>773.1</v>
      </c>
      <c r="H23" s="165">
        <f>85-8</f>
        <v>77</v>
      </c>
      <c r="I23" s="165">
        <f>505+8</f>
        <v>513</v>
      </c>
      <c r="J23" s="167">
        <f>183.1</f>
        <v>183.1</v>
      </c>
      <c r="K23" s="167">
        <f t="shared" si="2"/>
        <v>773.1</v>
      </c>
      <c r="L23" s="167">
        <v>613575</v>
      </c>
      <c r="M23" s="167">
        <v>1215</v>
      </c>
      <c r="N23" s="167">
        <f>O23*I23</f>
        <v>601723.35</v>
      </c>
      <c r="O23" s="167">
        <v>1172.95</v>
      </c>
      <c r="P23" s="137" t="s">
        <v>74</v>
      </c>
      <c r="Q23" s="143">
        <f>5241-1300</f>
        <v>3941</v>
      </c>
      <c r="R23" s="141"/>
      <c r="S23" s="141"/>
      <c r="T23" s="104"/>
      <c r="V23" s="34">
        <v>126755</v>
      </c>
      <c r="W23" s="28">
        <v>251</v>
      </c>
      <c r="AC23" t="e">
        <f>CONCATENATE(#REF!,B24)</f>
        <v>#REF!</v>
      </c>
      <c r="AD23">
        <f t="shared" si="1"/>
        <v>295.5</v>
      </c>
    </row>
    <row r="24" spans="1:30" x14ac:dyDescent="0.35">
      <c r="A24" s="141">
        <v>14</v>
      </c>
      <c r="B24" s="137" t="s">
        <v>36</v>
      </c>
      <c r="C24" s="165">
        <v>303.8</v>
      </c>
      <c r="D24" s="166">
        <v>0</v>
      </c>
      <c r="E24" s="166">
        <v>0</v>
      </c>
      <c r="F24" s="166">
        <v>0</v>
      </c>
      <c r="G24" s="165">
        <f>C24+E24-F24</f>
        <v>303.8</v>
      </c>
      <c r="H24" s="166">
        <v>0</v>
      </c>
      <c r="I24" s="165">
        <v>290</v>
      </c>
      <c r="J24" s="167">
        <f>13.8</f>
        <v>13.8</v>
      </c>
      <c r="K24" s="167">
        <f t="shared" si="2"/>
        <v>303.8</v>
      </c>
      <c r="L24" s="167">
        <v>2648862</v>
      </c>
      <c r="M24" s="167">
        <v>8964</v>
      </c>
      <c r="N24" s="167">
        <f>I24*O24</f>
        <v>2488809</v>
      </c>
      <c r="O24" s="167">
        <v>8582.1</v>
      </c>
      <c r="P24" s="137" t="s">
        <v>75</v>
      </c>
      <c r="Q24" s="143">
        <f>2115-1400</f>
        <v>715</v>
      </c>
      <c r="R24" s="141"/>
      <c r="S24" s="141"/>
      <c r="T24" s="104"/>
      <c r="V24" s="27">
        <v>645250</v>
      </c>
      <c r="W24">
        <v>2225</v>
      </c>
      <c r="AC24" t="e">
        <f>CONCATENATE(#REF!,B25)</f>
        <v>#REF!</v>
      </c>
      <c r="AD24" t="str">
        <f t="shared" si="1"/>
        <v/>
      </c>
    </row>
    <row r="25" spans="1:30" x14ac:dyDescent="0.35">
      <c r="A25" s="141">
        <v>15</v>
      </c>
      <c r="B25" s="137" t="s">
        <v>37</v>
      </c>
      <c r="C25" s="165"/>
      <c r="D25" s="165"/>
      <c r="E25" s="165"/>
      <c r="F25" s="165"/>
      <c r="G25" s="165"/>
      <c r="H25" s="165"/>
      <c r="I25" s="165"/>
      <c r="J25" s="167"/>
      <c r="K25" s="167"/>
      <c r="L25" s="167"/>
      <c r="M25" s="167"/>
      <c r="N25" s="167"/>
      <c r="O25" s="167"/>
      <c r="P25" s="137" t="s">
        <v>74</v>
      </c>
      <c r="Q25" s="141"/>
      <c r="R25" s="141"/>
      <c r="S25" s="141"/>
      <c r="T25" s="104"/>
      <c r="AC25" t="e">
        <f>CONCATENATE(#REF!,B26)</f>
        <v>#REF!</v>
      </c>
      <c r="AD25" t="str">
        <f t="shared" si="1"/>
        <v/>
      </c>
    </row>
    <row r="26" spans="1:30" x14ac:dyDescent="0.35">
      <c r="A26" s="141">
        <v>16</v>
      </c>
      <c r="B26" s="137" t="s">
        <v>38</v>
      </c>
      <c r="C26" s="165"/>
      <c r="D26" s="165"/>
      <c r="E26" s="165"/>
      <c r="F26" s="165"/>
      <c r="G26" s="165"/>
      <c r="H26" s="165"/>
      <c r="I26" s="165"/>
      <c r="J26" s="167"/>
      <c r="K26" s="167"/>
      <c r="L26" s="167"/>
      <c r="M26" s="167"/>
      <c r="N26" s="167"/>
      <c r="O26" s="167"/>
      <c r="P26" s="137" t="s">
        <v>76</v>
      </c>
      <c r="Q26" s="141"/>
      <c r="R26" s="141"/>
      <c r="S26" s="141"/>
      <c r="T26" s="104"/>
      <c r="AC26" t="e">
        <f>CONCATENATE(#REF!,B27)</f>
        <v>#REF!</v>
      </c>
      <c r="AD26" t="str">
        <f t="shared" si="1"/>
        <v/>
      </c>
    </row>
    <row r="27" spans="1:30" x14ac:dyDescent="0.35">
      <c r="A27" s="141">
        <v>17</v>
      </c>
      <c r="B27" s="137" t="s">
        <v>39</v>
      </c>
      <c r="C27" s="165"/>
      <c r="D27" s="165"/>
      <c r="E27" s="165"/>
      <c r="F27" s="165"/>
      <c r="G27" s="165"/>
      <c r="H27" s="165"/>
      <c r="I27" s="165"/>
      <c r="J27" s="167"/>
      <c r="K27" s="167"/>
      <c r="L27" s="167"/>
      <c r="M27" s="167"/>
      <c r="N27" s="167"/>
      <c r="O27" s="167"/>
      <c r="P27" s="137" t="s">
        <v>77</v>
      </c>
      <c r="Q27" s="141"/>
      <c r="R27" s="141"/>
      <c r="S27" s="141"/>
      <c r="T27" s="104"/>
      <c r="AC27" t="e">
        <f>CONCATENATE(#REF!,B28)</f>
        <v>#REF!</v>
      </c>
      <c r="AD27" t="str">
        <f t="shared" si="1"/>
        <v/>
      </c>
    </row>
    <row r="28" spans="1:30" x14ac:dyDescent="0.35">
      <c r="A28" s="141">
        <v>18</v>
      </c>
      <c r="B28" s="137" t="s">
        <v>40</v>
      </c>
      <c r="C28" s="165"/>
      <c r="D28" s="165"/>
      <c r="E28" s="165"/>
      <c r="F28" s="165"/>
      <c r="G28" s="165"/>
      <c r="H28" s="165"/>
      <c r="I28" s="165"/>
      <c r="J28" s="167"/>
      <c r="K28" s="167"/>
      <c r="L28" s="167"/>
      <c r="M28" s="167"/>
      <c r="N28" s="167"/>
      <c r="O28" s="167"/>
      <c r="P28" s="137" t="s">
        <v>78</v>
      </c>
      <c r="Q28" s="141"/>
      <c r="R28" s="141"/>
      <c r="S28" s="141"/>
      <c r="T28" s="104"/>
      <c r="AC28" t="e">
        <f>CONCATENATE(#REF!,B29)</f>
        <v>#REF!</v>
      </c>
      <c r="AD28" t="str">
        <f t="shared" si="1"/>
        <v/>
      </c>
    </row>
    <row r="29" spans="1:30" x14ac:dyDescent="0.35">
      <c r="A29" s="141">
        <v>19</v>
      </c>
      <c r="B29" s="137" t="s">
        <v>41</v>
      </c>
      <c r="C29" s="165"/>
      <c r="D29" s="165"/>
      <c r="E29" s="165"/>
      <c r="F29" s="165"/>
      <c r="G29" s="165"/>
      <c r="H29" s="165"/>
      <c r="I29" s="165"/>
      <c r="J29" s="167"/>
      <c r="K29" s="167"/>
      <c r="L29" s="167"/>
      <c r="M29" s="167"/>
      <c r="N29" s="167"/>
      <c r="O29" s="167"/>
      <c r="P29" s="137" t="s">
        <v>79</v>
      </c>
      <c r="Q29" s="141"/>
      <c r="R29" s="141"/>
      <c r="S29" s="141"/>
      <c r="T29" s="104"/>
      <c r="AC29" t="e">
        <f>CONCATENATE(#REF!,B30)</f>
        <v>#REF!</v>
      </c>
      <c r="AD29" t="str">
        <f t="shared" si="1"/>
        <v/>
      </c>
    </row>
    <row r="30" spans="1:30" x14ac:dyDescent="0.35">
      <c r="A30" s="141">
        <v>20</v>
      </c>
      <c r="B30" s="137" t="s">
        <v>42</v>
      </c>
      <c r="C30" s="165"/>
      <c r="D30" s="165"/>
      <c r="E30" s="165"/>
      <c r="F30" s="165"/>
      <c r="G30" s="165"/>
      <c r="H30" s="165"/>
      <c r="I30" s="165"/>
      <c r="J30" s="167"/>
      <c r="K30" s="167"/>
      <c r="L30" s="167"/>
      <c r="M30" s="167"/>
      <c r="N30" s="167"/>
      <c r="O30" s="167"/>
      <c r="P30" s="137" t="s">
        <v>80</v>
      </c>
      <c r="Q30" s="141"/>
      <c r="R30" s="141"/>
      <c r="S30" s="141"/>
      <c r="T30" s="104"/>
      <c r="AC30" t="e">
        <f>CONCATENATE(#REF!,B31)</f>
        <v>#REF!</v>
      </c>
      <c r="AD30" t="str">
        <f t="shared" si="1"/>
        <v/>
      </c>
    </row>
    <row r="31" spans="1:30" x14ac:dyDescent="0.35">
      <c r="A31" s="141">
        <v>21</v>
      </c>
      <c r="B31" s="137" t="s">
        <v>43</v>
      </c>
      <c r="C31" s="165"/>
      <c r="D31" s="165"/>
      <c r="E31" s="165"/>
      <c r="F31" s="165"/>
      <c r="G31" s="165"/>
      <c r="H31" s="165"/>
      <c r="I31" s="165"/>
      <c r="J31" s="167"/>
      <c r="K31" s="167"/>
      <c r="L31" s="167"/>
      <c r="M31" s="167"/>
      <c r="N31" s="167"/>
      <c r="O31" s="167"/>
      <c r="P31" s="137" t="s">
        <v>69</v>
      </c>
      <c r="Q31" s="141"/>
      <c r="R31" s="141"/>
      <c r="S31" s="141"/>
      <c r="T31" s="104"/>
      <c r="AC31" t="e">
        <f>CONCATENATE(#REF!,B32)</f>
        <v>#REF!</v>
      </c>
      <c r="AD31" t="str">
        <f t="shared" si="1"/>
        <v/>
      </c>
    </row>
    <row r="32" spans="1:30" x14ac:dyDescent="0.35">
      <c r="A32" s="141">
        <v>22</v>
      </c>
      <c r="B32" s="137" t="s">
        <v>44</v>
      </c>
      <c r="C32" s="165"/>
      <c r="D32" s="165"/>
      <c r="E32" s="165"/>
      <c r="F32" s="165"/>
      <c r="G32" s="165"/>
      <c r="H32" s="165"/>
      <c r="I32" s="165"/>
      <c r="J32" s="167"/>
      <c r="K32" s="167"/>
      <c r="L32" s="167"/>
      <c r="M32" s="167"/>
      <c r="N32" s="167"/>
      <c r="O32" s="167"/>
      <c r="P32" s="137" t="s">
        <v>81</v>
      </c>
      <c r="Q32" s="141"/>
      <c r="R32" s="141"/>
      <c r="S32" s="141"/>
      <c r="T32" s="104"/>
      <c r="AC32" t="e">
        <f>CONCATENATE(#REF!,B33)</f>
        <v>#REF!</v>
      </c>
      <c r="AD32">
        <f t="shared" si="1"/>
        <v>38.299999999999997</v>
      </c>
    </row>
    <row r="33" spans="1:30" x14ac:dyDescent="0.35">
      <c r="A33" s="169">
        <v>23</v>
      </c>
      <c r="B33" s="137" t="s">
        <v>45</v>
      </c>
      <c r="C33" s="165">
        <f>23.5+31.5</f>
        <v>55</v>
      </c>
      <c r="D33" s="166">
        <v>0</v>
      </c>
      <c r="E33" s="166">
        <v>0</v>
      </c>
      <c r="F33" s="166">
        <v>0</v>
      </c>
      <c r="G33" s="165">
        <f>C33+E33-F33</f>
        <v>55</v>
      </c>
      <c r="H33" s="165">
        <f>12.5</f>
        <v>12.5</v>
      </c>
      <c r="I33" s="165">
        <f>17.8+20.5</f>
        <v>38.299999999999997</v>
      </c>
      <c r="J33" s="167">
        <f>4.2</f>
        <v>4.2</v>
      </c>
      <c r="K33" s="167">
        <f>SUM(H33:J33)</f>
        <v>55</v>
      </c>
      <c r="L33" s="167">
        <v>37725.5</v>
      </c>
      <c r="M33" s="167">
        <v>985</v>
      </c>
      <c r="N33" s="168">
        <f>O33*I33</f>
        <v>22957.019999999997</v>
      </c>
      <c r="O33" s="168">
        <v>599.4</v>
      </c>
      <c r="P33" s="137" t="s">
        <v>81</v>
      </c>
      <c r="Q33" s="141">
        <f>45+200</f>
        <v>245</v>
      </c>
      <c r="R33" s="141"/>
      <c r="S33" s="141"/>
      <c r="T33" s="104"/>
      <c r="V33" s="28">
        <v>0</v>
      </c>
      <c r="W33" s="28">
        <v>0</v>
      </c>
      <c r="X33" s="28"/>
      <c r="AC33" t="e">
        <f>CONCATENATE(#REF!,B34)</f>
        <v>#REF!</v>
      </c>
      <c r="AD33">
        <f t="shared" si="1"/>
        <v>4.8500097545301184</v>
      </c>
    </row>
    <row r="34" spans="1:30" x14ac:dyDescent="0.35">
      <c r="A34" s="169">
        <v>24</v>
      </c>
      <c r="B34" s="137" t="s">
        <v>46</v>
      </c>
      <c r="C34" s="165">
        <v>5</v>
      </c>
      <c r="D34" s="165">
        <v>0</v>
      </c>
      <c r="E34" s="165">
        <v>0</v>
      </c>
      <c r="F34" s="165">
        <v>0</v>
      </c>
      <c r="G34" s="165">
        <f>C34+E34-F34</f>
        <v>5</v>
      </c>
      <c r="H34" s="165">
        <v>0</v>
      </c>
      <c r="I34" s="165">
        <v>4.8499999999999996</v>
      </c>
      <c r="J34" s="167">
        <v>0.15</v>
      </c>
      <c r="K34" s="167">
        <f>SUM(H34:J34)</f>
        <v>5</v>
      </c>
      <c r="L34" s="167">
        <v>4226.25</v>
      </c>
      <c r="M34" s="167">
        <v>871.39</v>
      </c>
      <c r="N34" s="168">
        <f>O34*I34</f>
        <v>2670.41</v>
      </c>
      <c r="O34" s="167">
        <v>550.6</v>
      </c>
      <c r="P34" s="137" t="s">
        <v>72</v>
      </c>
      <c r="Q34" s="141">
        <v>79</v>
      </c>
      <c r="R34" s="141"/>
      <c r="S34" s="141"/>
      <c r="T34" s="104"/>
      <c r="V34">
        <v>0</v>
      </c>
      <c r="W34">
        <v>0</v>
      </c>
      <c r="AC34" t="e">
        <f>CONCATENATE(#REF!,B35)</f>
        <v>#REF!</v>
      </c>
      <c r="AD34" t="str">
        <f t="shared" si="1"/>
        <v/>
      </c>
    </row>
    <row r="35" spans="1:30" x14ac:dyDescent="0.35">
      <c r="A35" s="141">
        <v>25</v>
      </c>
      <c r="B35" s="137" t="s">
        <v>47</v>
      </c>
      <c r="C35" s="165"/>
      <c r="D35" s="165"/>
      <c r="E35" s="165"/>
      <c r="F35" s="165"/>
      <c r="G35" s="165"/>
      <c r="H35" s="165"/>
      <c r="I35" s="165"/>
      <c r="J35" s="167"/>
      <c r="K35" s="167"/>
      <c r="L35" s="167"/>
      <c r="M35" s="167"/>
      <c r="N35" s="167"/>
      <c r="O35" s="167"/>
      <c r="P35" s="137" t="s">
        <v>75</v>
      </c>
      <c r="Q35" s="141"/>
      <c r="R35" s="141"/>
      <c r="S35" s="141"/>
      <c r="T35" s="104"/>
      <c r="AC35" t="e">
        <f>CONCATENATE(#REF!,B36)</f>
        <v>#REF!</v>
      </c>
      <c r="AD35">
        <f t="shared" si="1"/>
        <v>130.5</v>
      </c>
    </row>
    <row r="36" spans="1:30" x14ac:dyDescent="0.35">
      <c r="A36" s="141">
        <v>26</v>
      </c>
      <c r="B36" s="137" t="s">
        <v>48</v>
      </c>
      <c r="C36" s="165">
        <v>219.5</v>
      </c>
      <c r="D36" s="166">
        <v>0</v>
      </c>
      <c r="E36" s="166">
        <v>29</v>
      </c>
      <c r="F36" s="166">
        <v>0</v>
      </c>
      <c r="G36" s="165">
        <f>C36+E36-F36</f>
        <v>248.5</v>
      </c>
      <c r="H36" s="166">
        <f>132-15</f>
        <v>117</v>
      </c>
      <c r="I36" s="166">
        <f>115.5+15</f>
        <v>130.5</v>
      </c>
      <c r="J36" s="168">
        <v>1</v>
      </c>
      <c r="K36" s="167">
        <f>SUM(H36:J36)</f>
        <v>248.5</v>
      </c>
      <c r="L36" s="167">
        <v>14272.5</v>
      </c>
      <c r="M36" s="168">
        <f>L36/I36</f>
        <v>109.36781609195403</v>
      </c>
      <c r="N36" s="168">
        <f>O36*I36</f>
        <v>33949.574999999997</v>
      </c>
      <c r="O36" s="168">
        <v>260.14999999999998</v>
      </c>
      <c r="P36" s="137" t="s">
        <v>72</v>
      </c>
      <c r="Q36" s="141">
        <f>379-100</f>
        <v>279</v>
      </c>
      <c r="R36" s="142"/>
      <c r="S36" s="141"/>
      <c r="T36" s="104"/>
      <c r="V36" s="28">
        <v>0</v>
      </c>
      <c r="W36" s="28">
        <v>0</v>
      </c>
      <c r="AC36" t="e">
        <f>CONCATENATE(#REF!,B37)</f>
        <v>#REF!</v>
      </c>
      <c r="AD36">
        <f t="shared" si="1"/>
        <v>0.75</v>
      </c>
    </row>
    <row r="37" spans="1:30" x14ac:dyDescent="0.35">
      <c r="A37" s="141">
        <v>27</v>
      </c>
      <c r="B37" s="137" t="s">
        <v>49</v>
      </c>
      <c r="C37" s="165">
        <v>1</v>
      </c>
      <c r="D37" s="166">
        <v>0</v>
      </c>
      <c r="E37" s="166">
        <v>0</v>
      </c>
      <c r="F37" s="166">
        <v>0</v>
      </c>
      <c r="G37" s="165">
        <f>C37+E37-F37</f>
        <v>1</v>
      </c>
      <c r="H37" s="165">
        <v>0</v>
      </c>
      <c r="I37" s="165">
        <v>0.75</v>
      </c>
      <c r="J37" s="167">
        <v>0.25</v>
      </c>
      <c r="K37" s="167">
        <f>SUM(H37:J37)</f>
        <v>1</v>
      </c>
      <c r="L37" s="167">
        <v>296.25</v>
      </c>
      <c r="M37" s="167">
        <f>L37/I37</f>
        <v>395</v>
      </c>
      <c r="N37" s="167">
        <f>O37*I37</f>
        <v>178.3125</v>
      </c>
      <c r="O37" s="167">
        <v>237.75</v>
      </c>
      <c r="P37" s="137" t="s">
        <v>84</v>
      </c>
      <c r="Q37" s="141">
        <v>25</v>
      </c>
      <c r="R37" s="141"/>
      <c r="S37" s="141"/>
      <c r="T37" s="104"/>
      <c r="V37">
        <v>70.3125</v>
      </c>
      <c r="W37">
        <v>93.75</v>
      </c>
      <c r="Y37">
        <f>W37/4</f>
        <v>23.4375</v>
      </c>
      <c r="AC37" t="e">
        <f>CONCATENATE(#REF!,B38)</f>
        <v>#REF!</v>
      </c>
      <c r="AD37" t="str">
        <f t="shared" si="1"/>
        <v/>
      </c>
    </row>
    <row r="38" spans="1:30" x14ac:dyDescent="0.35">
      <c r="A38" s="141">
        <v>28</v>
      </c>
      <c r="B38" s="137" t="s">
        <v>50</v>
      </c>
      <c r="C38" s="165"/>
      <c r="D38" s="165"/>
      <c r="E38" s="165"/>
      <c r="F38" s="165"/>
      <c r="G38" s="165"/>
      <c r="H38" s="165"/>
      <c r="I38" s="165"/>
      <c r="J38" s="167"/>
      <c r="K38" s="167"/>
      <c r="L38" s="167"/>
      <c r="M38" s="167"/>
      <c r="N38" s="167"/>
      <c r="O38" s="167"/>
      <c r="P38" s="137" t="s">
        <v>77</v>
      </c>
      <c r="Q38" s="141"/>
      <c r="R38" s="141"/>
      <c r="S38" s="141"/>
      <c r="T38" s="104"/>
      <c r="AC38" t="e">
        <f>CONCATENATE(#REF!,#REF!)</f>
        <v>#REF!</v>
      </c>
    </row>
    <row r="39" spans="1:30" x14ac:dyDescent="0.35">
      <c r="A39" s="141">
        <v>29</v>
      </c>
      <c r="B39" s="137" t="s">
        <v>51</v>
      </c>
      <c r="C39" s="165"/>
      <c r="D39" s="165"/>
      <c r="E39" s="165"/>
      <c r="F39" s="165"/>
      <c r="G39" s="165"/>
      <c r="H39" s="165"/>
      <c r="I39" s="165"/>
      <c r="J39" s="167"/>
      <c r="K39" s="167"/>
      <c r="L39" s="167"/>
      <c r="M39" s="167"/>
      <c r="N39" s="167"/>
      <c r="O39" s="167"/>
      <c r="P39" s="137" t="s">
        <v>82</v>
      </c>
      <c r="Q39" s="141"/>
      <c r="R39" s="141"/>
      <c r="S39" s="141"/>
      <c r="T39" s="104"/>
      <c r="AC39" t="e">
        <f>CONCATENATE(#REF!,B40)</f>
        <v>#REF!</v>
      </c>
      <c r="AD39" t="str">
        <f>IF(L40="","",L40/M40)</f>
        <v/>
      </c>
    </row>
    <row r="40" spans="1:30" x14ac:dyDescent="0.35">
      <c r="A40" s="141">
        <v>30</v>
      </c>
      <c r="B40" s="137" t="s">
        <v>52</v>
      </c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37" t="s">
        <v>83</v>
      </c>
      <c r="Q40" s="141"/>
      <c r="R40" s="141"/>
      <c r="S40" s="141"/>
      <c r="T40" s="104"/>
    </row>
    <row r="41" spans="1:30" ht="10.5" customHeight="1" x14ac:dyDescent="0.35">
      <c r="A41" s="170"/>
      <c r="B41" s="170"/>
      <c r="C41" s="170"/>
      <c r="D41" s="170"/>
      <c r="E41" s="170"/>
      <c r="F41" s="170"/>
      <c r="G41" s="171"/>
      <c r="H41" s="171"/>
      <c r="I41" s="171"/>
      <c r="J41" s="171"/>
      <c r="K41" s="171"/>
      <c r="L41" s="170"/>
      <c r="M41" s="170"/>
      <c r="N41" s="170"/>
      <c r="O41" s="170"/>
      <c r="P41" s="170"/>
      <c r="Q41" s="170"/>
      <c r="R41" s="170"/>
      <c r="S41" s="170"/>
      <c r="T41" s="103"/>
    </row>
    <row r="42" spans="1:30" x14ac:dyDescent="0.35">
      <c r="A42" s="170"/>
      <c r="B42" s="280" t="s">
        <v>111</v>
      </c>
      <c r="C42" s="280"/>
      <c r="D42" s="170"/>
      <c r="E42" s="170"/>
      <c r="F42" s="170"/>
      <c r="G42" s="171"/>
      <c r="H42" s="171"/>
      <c r="I42" s="171"/>
      <c r="J42" s="171"/>
      <c r="K42" s="171"/>
      <c r="L42" s="170"/>
      <c r="M42" s="170"/>
      <c r="N42" s="170"/>
      <c r="O42" s="170"/>
      <c r="P42" s="170"/>
      <c r="Q42" s="170"/>
      <c r="R42" s="170"/>
      <c r="S42" s="170"/>
      <c r="T42" s="103"/>
    </row>
    <row r="43" spans="1:30" x14ac:dyDescent="0.35">
      <c r="A43" s="170"/>
      <c r="B43" s="280" t="s">
        <v>112</v>
      </c>
      <c r="C43" s="280"/>
      <c r="D43" s="170"/>
      <c r="E43" s="170"/>
      <c r="F43" s="170"/>
      <c r="G43" s="171"/>
      <c r="H43" s="171"/>
      <c r="I43" s="171"/>
      <c r="J43" s="171"/>
      <c r="K43" s="171"/>
      <c r="L43" s="170"/>
      <c r="M43" s="170"/>
      <c r="N43" s="170"/>
      <c r="O43" s="170"/>
      <c r="P43" s="170"/>
      <c r="Q43" s="280" t="s">
        <v>110</v>
      </c>
      <c r="R43" s="280"/>
      <c r="S43" s="280"/>
      <c r="T43" s="104"/>
    </row>
    <row r="44" spans="1:30" x14ac:dyDescent="0.35">
      <c r="A44" s="170"/>
      <c r="B44" s="189"/>
      <c r="C44" s="189"/>
      <c r="D44" s="170"/>
      <c r="E44" s="170"/>
      <c r="F44" s="170"/>
      <c r="G44" s="171"/>
      <c r="H44" s="171"/>
      <c r="I44" s="171"/>
      <c r="J44" s="171"/>
      <c r="K44" s="171"/>
      <c r="L44" s="170"/>
      <c r="M44" s="170"/>
      <c r="N44" s="170"/>
      <c r="O44" s="170"/>
      <c r="P44" s="170"/>
      <c r="Q44" s="189"/>
      <c r="R44" s="189"/>
      <c r="S44" s="189"/>
      <c r="T44" s="103"/>
    </row>
    <row r="45" spans="1:30" x14ac:dyDescent="0.35">
      <c r="A45" s="123"/>
      <c r="B45" s="188"/>
      <c r="C45" s="188"/>
      <c r="D45" s="123"/>
      <c r="E45" s="123"/>
      <c r="F45" s="123"/>
      <c r="G45" s="150"/>
      <c r="H45" s="150"/>
      <c r="I45" s="150"/>
      <c r="J45" s="150"/>
      <c r="K45" s="150"/>
      <c r="L45" s="123"/>
      <c r="M45" s="123"/>
      <c r="N45" s="123"/>
      <c r="O45" s="123"/>
      <c r="P45" s="123"/>
      <c r="Q45" s="188"/>
      <c r="R45" s="188"/>
      <c r="S45" s="188"/>
    </row>
    <row r="46" spans="1:30" x14ac:dyDescent="0.35">
      <c r="A46" s="123"/>
      <c r="B46" s="278" t="s">
        <v>113</v>
      </c>
      <c r="C46" s="278"/>
      <c r="D46" s="123"/>
      <c r="E46" s="123"/>
      <c r="F46" s="123"/>
      <c r="G46" s="150"/>
      <c r="H46" s="150"/>
      <c r="I46" s="150"/>
      <c r="J46" s="150"/>
      <c r="K46" s="150"/>
      <c r="L46" s="123"/>
      <c r="M46" s="123"/>
      <c r="N46" s="123"/>
      <c r="O46" s="123"/>
      <c r="P46" s="123"/>
      <c r="Q46" s="278" t="s">
        <v>160</v>
      </c>
      <c r="R46" s="278"/>
      <c r="S46" s="278"/>
      <c r="T46" s="102"/>
    </row>
    <row r="47" spans="1:30" x14ac:dyDescent="0.35">
      <c r="A47" s="123"/>
      <c r="B47" s="277" t="s">
        <v>114</v>
      </c>
      <c r="C47" s="277"/>
      <c r="D47" s="123"/>
      <c r="E47" s="123"/>
      <c r="F47" s="123"/>
      <c r="G47" s="150"/>
      <c r="H47" s="150"/>
      <c r="I47" s="150"/>
      <c r="J47" s="150"/>
      <c r="K47" s="150"/>
      <c r="L47" s="123"/>
      <c r="M47" s="123"/>
      <c r="N47" s="123"/>
      <c r="O47" s="123"/>
      <c r="P47" s="123"/>
      <c r="Q47" s="277"/>
      <c r="R47" s="277"/>
      <c r="S47" s="277"/>
      <c r="T47" s="2"/>
    </row>
  </sheetData>
  <mergeCells count="18">
    <mergeCell ref="B42:C42"/>
    <mergeCell ref="B43:C43"/>
    <mergeCell ref="B46:C46"/>
    <mergeCell ref="B47:C47"/>
    <mergeCell ref="Q43:S43"/>
    <mergeCell ref="Q46:S46"/>
    <mergeCell ref="Q47:S47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25" right="0.25" top="0.31496062992126" bottom="0.47244094488188998" header="0.23622047244094499" footer="0.31496062992126"/>
  <pageSetup paperSize="5" scale="7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H107884"/>
  <sheetViews>
    <sheetView zoomScale="90" zoomScaleNormal="90" workbookViewId="0">
      <pane ySplit="3760" topLeftCell="A19" activePane="bottomLeft"/>
      <selection pane="bottomLeft" activeCell="O37" sqref="O37"/>
    </sheetView>
  </sheetViews>
  <sheetFormatPr defaultRowHeight="14.5" x14ac:dyDescent="0.35"/>
  <cols>
    <col min="1" max="1" width="4.26953125" customWidth="1"/>
    <col min="2" max="2" width="19.26953125" customWidth="1"/>
    <col min="3" max="3" width="14.7265625" customWidth="1"/>
    <col min="4" max="4" width="13" customWidth="1"/>
    <col min="5" max="5" width="13.81640625" bestFit="1" customWidth="1"/>
    <col min="6" max="6" width="12.81640625" bestFit="1" customWidth="1"/>
    <col min="7" max="7" width="10" bestFit="1" customWidth="1"/>
    <col min="8" max="8" width="9.453125" bestFit="1" customWidth="1"/>
    <col min="9" max="9" width="10" bestFit="1" customWidth="1"/>
    <col min="10" max="10" width="9.453125" bestFit="1" customWidth="1"/>
    <col min="11" max="11" width="12.1796875" style="32" customWidth="1"/>
    <col min="12" max="12" width="16" customWidth="1"/>
    <col min="13" max="13" width="11.453125" customWidth="1"/>
    <col min="14" max="14" width="13.81640625" bestFit="1" customWidth="1"/>
    <col min="15" max="15" width="12.54296875" customWidth="1"/>
    <col min="16" max="16" width="17.453125" customWidth="1"/>
    <col min="17" max="17" width="10.81640625" customWidth="1"/>
    <col min="18" max="18" width="9.81640625" customWidth="1"/>
    <col min="19" max="21" width="5.81640625" customWidth="1"/>
    <col min="22" max="24" width="11.1796875" customWidth="1"/>
    <col min="25" max="25" width="10" bestFit="1" customWidth="1"/>
    <col min="26" max="27" width="13.453125" customWidth="1"/>
    <col min="33" max="34" width="9.1796875" hidden="1" customWidth="1"/>
  </cols>
  <sheetData>
    <row r="1" spans="1:34" x14ac:dyDescent="0.35">
      <c r="A1" s="1" t="s">
        <v>57</v>
      </c>
      <c r="K1" s="30"/>
    </row>
    <row r="2" spans="1:34" x14ac:dyDescent="0.35">
      <c r="A2" s="2"/>
      <c r="K2" s="30"/>
    </row>
    <row r="3" spans="1:34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113"/>
      <c r="U3" s="113"/>
      <c r="V3" s="113"/>
      <c r="W3" s="113"/>
      <c r="X3" s="113"/>
    </row>
    <row r="4" spans="1:34" x14ac:dyDescent="0.35">
      <c r="A4" s="1"/>
      <c r="K4" s="30"/>
      <c r="R4" s="5"/>
      <c r="S4" s="6"/>
      <c r="T4" s="6"/>
      <c r="U4" s="6"/>
      <c r="V4" s="6"/>
      <c r="W4" s="6"/>
      <c r="X4" s="6"/>
    </row>
    <row r="5" spans="1:34" x14ac:dyDescent="0.35">
      <c r="A5" s="153" t="s">
        <v>175</v>
      </c>
      <c r="B5" s="151"/>
      <c r="C5" s="151" t="s">
        <v>179</v>
      </c>
      <c r="D5" s="151"/>
      <c r="E5" s="172"/>
      <c r="F5" s="151"/>
      <c r="G5" s="151"/>
      <c r="H5" s="151"/>
      <c r="I5" s="172"/>
      <c r="J5" s="151"/>
      <c r="K5" s="154"/>
      <c r="L5" s="151"/>
      <c r="M5" s="151"/>
      <c r="N5" s="151"/>
      <c r="O5" s="151"/>
      <c r="P5" s="285" t="s">
        <v>181</v>
      </c>
      <c r="Q5" s="285"/>
      <c r="R5" s="153" t="s">
        <v>182</v>
      </c>
      <c r="S5" s="151"/>
      <c r="T5" s="151"/>
      <c r="U5" s="151"/>
    </row>
    <row r="6" spans="1:34" x14ac:dyDescent="0.35">
      <c r="A6" s="153" t="s">
        <v>176</v>
      </c>
      <c r="B6" s="151"/>
      <c r="C6" s="151" t="s">
        <v>172</v>
      </c>
      <c r="D6" s="151"/>
      <c r="E6" s="173"/>
      <c r="F6" s="151"/>
      <c r="G6" s="151"/>
      <c r="H6" s="151"/>
      <c r="I6" s="151"/>
      <c r="J6" s="151"/>
      <c r="K6" s="154"/>
      <c r="L6" s="151"/>
      <c r="M6" s="151"/>
      <c r="N6" s="151"/>
      <c r="O6" s="151"/>
      <c r="P6" s="285" t="s">
        <v>180</v>
      </c>
      <c r="Q6" s="285"/>
      <c r="R6" s="153" t="s">
        <v>203</v>
      </c>
      <c r="S6" s="151"/>
      <c r="T6" s="151"/>
      <c r="U6" s="151"/>
    </row>
    <row r="7" spans="1:34" x14ac:dyDescent="0.35">
      <c r="A7" s="153" t="s">
        <v>177</v>
      </c>
      <c r="B7" s="151"/>
      <c r="C7" s="151" t="s">
        <v>174</v>
      </c>
      <c r="D7" s="151"/>
      <c r="E7" s="151"/>
      <c r="F7" s="151"/>
      <c r="G7" s="151"/>
      <c r="H7" s="151"/>
      <c r="I7" s="151"/>
      <c r="J7" s="151"/>
      <c r="K7" s="154"/>
      <c r="L7" s="151"/>
      <c r="M7" s="151"/>
      <c r="N7" s="151"/>
      <c r="O7" s="151"/>
      <c r="P7" s="151"/>
      <c r="Q7" s="151"/>
      <c r="R7" s="151"/>
      <c r="S7" s="151"/>
      <c r="T7" s="151"/>
      <c r="U7" s="151"/>
    </row>
    <row r="8" spans="1:34" s="11" customFormat="1" x14ac:dyDescent="0.35">
      <c r="A8" s="283" t="s">
        <v>3</v>
      </c>
      <c r="B8" s="283" t="s">
        <v>4</v>
      </c>
      <c r="C8" s="283" t="s">
        <v>23</v>
      </c>
      <c r="D8" s="283" t="s">
        <v>6</v>
      </c>
      <c r="E8" s="283"/>
      <c r="F8" s="283"/>
      <c r="G8" s="283"/>
      <c r="H8" s="283"/>
      <c r="I8" s="283"/>
      <c r="J8" s="283"/>
      <c r="K8" s="283"/>
      <c r="L8" s="283" t="s">
        <v>22</v>
      </c>
      <c r="M8" s="283"/>
      <c r="N8" s="283"/>
      <c r="O8" s="283"/>
      <c r="P8" s="155"/>
      <c r="Q8" s="156"/>
      <c r="R8" s="157"/>
      <c r="S8" s="155"/>
      <c r="T8" s="191"/>
      <c r="U8" s="191"/>
      <c r="AG8" s="11" t="s">
        <v>54</v>
      </c>
      <c r="AH8" s="11" t="s">
        <v>54</v>
      </c>
    </row>
    <row r="9" spans="1:34" s="11" customFormat="1" ht="29" x14ac:dyDescent="0.35">
      <c r="A9" s="283"/>
      <c r="B9" s="283"/>
      <c r="C9" s="283"/>
      <c r="D9" s="284" t="s">
        <v>7</v>
      </c>
      <c r="E9" s="284"/>
      <c r="F9" s="284"/>
      <c r="G9" s="284"/>
      <c r="H9" s="284" t="s">
        <v>12</v>
      </c>
      <c r="I9" s="284"/>
      <c r="J9" s="284"/>
      <c r="K9" s="284"/>
      <c r="L9" s="284" t="s">
        <v>13</v>
      </c>
      <c r="M9" s="284"/>
      <c r="N9" s="284" t="s">
        <v>15</v>
      </c>
      <c r="O9" s="284"/>
      <c r="P9" s="158"/>
      <c r="Q9" s="281" t="s">
        <v>17</v>
      </c>
      <c r="R9" s="282"/>
      <c r="S9" s="158" t="s">
        <v>104</v>
      </c>
      <c r="T9" s="258"/>
      <c r="U9" s="258"/>
      <c r="V9" s="114"/>
      <c r="W9" s="114"/>
      <c r="X9" s="114"/>
      <c r="Z9" s="11" t="s">
        <v>15</v>
      </c>
      <c r="AG9" s="11" t="s">
        <v>56</v>
      </c>
      <c r="AH9" s="11" t="s">
        <v>56</v>
      </c>
    </row>
    <row r="10" spans="1:34" s="11" customFormat="1" ht="29" x14ac:dyDescent="0.35">
      <c r="A10" s="283"/>
      <c r="B10" s="283"/>
      <c r="C10" s="283"/>
      <c r="D10" s="159" t="s">
        <v>8</v>
      </c>
      <c r="E10" s="159" t="s">
        <v>9</v>
      </c>
      <c r="F10" s="159" t="s">
        <v>10</v>
      </c>
      <c r="G10" s="159" t="s">
        <v>11</v>
      </c>
      <c r="H10" s="159" t="s">
        <v>0</v>
      </c>
      <c r="I10" s="159" t="s">
        <v>1</v>
      </c>
      <c r="J10" s="159" t="s">
        <v>2</v>
      </c>
      <c r="K10" s="160" t="s">
        <v>11</v>
      </c>
      <c r="L10" s="159" t="s">
        <v>14</v>
      </c>
      <c r="M10" s="159" t="s">
        <v>21</v>
      </c>
      <c r="N10" s="159" t="s">
        <v>14</v>
      </c>
      <c r="O10" s="159" t="s">
        <v>21</v>
      </c>
      <c r="P10" s="161" t="s">
        <v>16</v>
      </c>
      <c r="Q10" s="159" t="s">
        <v>19</v>
      </c>
      <c r="R10" s="159" t="s">
        <v>20</v>
      </c>
      <c r="S10" s="161"/>
      <c r="T10" s="258"/>
      <c r="U10" s="258"/>
      <c r="V10" s="114"/>
      <c r="W10" s="114"/>
      <c r="X10" s="114"/>
      <c r="Z10" s="11" t="s">
        <v>14</v>
      </c>
      <c r="AA10" s="11" t="s">
        <v>21</v>
      </c>
      <c r="AG10" s="11" t="s">
        <v>55</v>
      </c>
      <c r="AH10" s="11" t="s">
        <v>55</v>
      </c>
    </row>
    <row r="11" spans="1:34" x14ac:dyDescent="0.35">
      <c r="A11" s="162">
        <v>1</v>
      </c>
      <c r="B11" s="163" t="s">
        <v>5</v>
      </c>
      <c r="C11" s="174">
        <v>105.72</v>
      </c>
      <c r="D11" s="175">
        <v>0</v>
      </c>
      <c r="E11" s="175">
        <f>12+4-10</f>
        <v>6</v>
      </c>
      <c r="F11" s="175">
        <v>0</v>
      </c>
      <c r="G11" s="174">
        <f>C11+E11-F11</f>
        <v>111.72</v>
      </c>
      <c r="H11" s="174">
        <f>35-5</f>
        <v>30</v>
      </c>
      <c r="I11" s="174">
        <f>75.72+5</f>
        <v>80.72</v>
      </c>
      <c r="J11" s="174">
        <v>1</v>
      </c>
      <c r="K11" s="174">
        <f>SUM(H11:J11)</f>
        <v>111.72</v>
      </c>
      <c r="L11" s="174">
        <v>146896.01999999999</v>
      </c>
      <c r="M11" s="174">
        <v>1926</v>
      </c>
      <c r="N11" s="174">
        <f>O11*I11</f>
        <v>87581.2</v>
      </c>
      <c r="O11" s="174">
        <v>1085</v>
      </c>
      <c r="P11" s="176" t="s">
        <v>67</v>
      </c>
      <c r="Q11" s="177">
        <f>74+27</f>
        <v>101</v>
      </c>
      <c r="R11" s="178"/>
      <c r="S11" s="178"/>
      <c r="T11" s="259"/>
      <c r="U11" s="259"/>
      <c r="V11" s="115"/>
      <c r="W11" s="115"/>
      <c r="X11" s="115"/>
      <c r="Y11" s="28"/>
      <c r="Z11" s="28">
        <v>42935.342399999994</v>
      </c>
      <c r="AA11" s="30">
        <v>590.41999999999996</v>
      </c>
      <c r="AG11" t="e">
        <f>CONCATENATE(#REF!,B11)</f>
        <v>#REF!</v>
      </c>
      <c r="AH11">
        <f>IF(L11="","",L11/M11)</f>
        <v>76.27</v>
      </c>
    </row>
    <row r="12" spans="1:34" x14ac:dyDescent="0.35">
      <c r="A12" s="162">
        <v>2</v>
      </c>
      <c r="B12" s="163" t="s">
        <v>25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6" t="s">
        <v>68</v>
      </c>
      <c r="Q12" s="177"/>
      <c r="R12" s="179"/>
      <c r="S12" s="179"/>
      <c r="T12" s="204"/>
      <c r="U12" s="204"/>
      <c r="V12" s="2"/>
      <c r="W12" s="2"/>
      <c r="X12" s="2"/>
      <c r="AG12" t="e">
        <f>CONCATENATE(#REF!,B12)</f>
        <v>#REF!</v>
      </c>
      <c r="AH12" t="str">
        <f t="shared" ref="AH12:AH20" si="0">IF(L12="","",L12/M12)</f>
        <v/>
      </c>
    </row>
    <row r="13" spans="1:34" x14ac:dyDescent="0.35">
      <c r="A13" s="162">
        <v>3</v>
      </c>
      <c r="B13" s="163" t="s">
        <v>26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6" t="s">
        <v>68</v>
      </c>
      <c r="Q13" s="177"/>
      <c r="R13" s="179"/>
      <c r="S13" s="179"/>
      <c r="T13" s="204"/>
      <c r="U13" s="204"/>
      <c r="V13" s="2"/>
      <c r="W13" s="2"/>
      <c r="X13" s="2"/>
      <c r="AG13" t="e">
        <f>CONCATENATE(#REF!,B13)</f>
        <v>#REF!</v>
      </c>
      <c r="AH13" t="str">
        <f t="shared" si="0"/>
        <v/>
      </c>
    </row>
    <row r="14" spans="1:34" x14ac:dyDescent="0.35">
      <c r="A14" s="162">
        <v>4</v>
      </c>
      <c r="B14" s="163" t="s">
        <v>27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6" t="s">
        <v>69</v>
      </c>
      <c r="Q14" s="177"/>
      <c r="R14" s="179"/>
      <c r="S14" s="179"/>
      <c r="T14" s="204"/>
      <c r="U14" s="204"/>
      <c r="V14" s="2"/>
      <c r="W14" s="2"/>
      <c r="X14" s="2"/>
      <c r="AG14" t="e">
        <f>CONCATENATE(#REF!,B14)</f>
        <v>#REF!</v>
      </c>
      <c r="AH14" t="str">
        <f t="shared" si="0"/>
        <v/>
      </c>
    </row>
    <row r="15" spans="1:34" x14ac:dyDescent="0.35">
      <c r="A15" s="162">
        <v>5</v>
      </c>
      <c r="B15" s="163" t="s">
        <v>28</v>
      </c>
      <c r="C15" s="174">
        <v>409.06</v>
      </c>
      <c r="D15" s="175">
        <v>0</v>
      </c>
      <c r="E15" s="174">
        <v>9</v>
      </c>
      <c r="F15" s="174">
        <v>0</v>
      </c>
      <c r="G15" s="174">
        <f>C15+E15-F15</f>
        <v>418.06</v>
      </c>
      <c r="H15" s="174">
        <f>274+9</f>
        <v>283</v>
      </c>
      <c r="I15" s="174">
        <v>87.26</v>
      </c>
      <c r="J15" s="174">
        <v>47.8</v>
      </c>
      <c r="K15" s="174">
        <f>SUM(H15:J15)</f>
        <v>418.06</v>
      </c>
      <c r="L15" s="174">
        <v>61190</v>
      </c>
      <c r="M15" s="174">
        <v>746.22</v>
      </c>
      <c r="N15" s="174">
        <f>O15*I15</f>
        <v>28577.65</v>
      </c>
      <c r="O15" s="174">
        <v>327.5</v>
      </c>
      <c r="P15" s="176" t="s">
        <v>70</v>
      </c>
      <c r="Q15" s="177">
        <f>787</f>
        <v>787</v>
      </c>
      <c r="R15" s="178"/>
      <c r="S15" s="178"/>
      <c r="T15" s="259"/>
      <c r="U15" s="259"/>
      <c r="V15" s="115"/>
      <c r="W15" s="115"/>
      <c r="X15" s="115"/>
      <c r="Z15" s="28">
        <v>0</v>
      </c>
      <c r="AA15">
        <v>0</v>
      </c>
      <c r="AG15" t="e">
        <f>CONCATENATE(#REF!,B15)</f>
        <v>#REF!</v>
      </c>
      <c r="AH15">
        <f t="shared" si="0"/>
        <v>81.999946396505052</v>
      </c>
    </row>
    <row r="16" spans="1:34" x14ac:dyDescent="0.35">
      <c r="A16" s="162">
        <v>6</v>
      </c>
      <c r="B16" s="163" t="s">
        <v>29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6" t="s">
        <v>70</v>
      </c>
      <c r="Q16" s="177"/>
      <c r="R16" s="179"/>
      <c r="S16" s="179"/>
      <c r="T16" s="204"/>
      <c r="U16" s="204"/>
      <c r="V16" s="2"/>
      <c r="W16" s="2"/>
      <c r="X16" s="2"/>
      <c r="AG16" t="e">
        <f>CONCATENATE(#REF!,B16)</f>
        <v>#REF!</v>
      </c>
      <c r="AH16" t="str">
        <f t="shared" si="0"/>
        <v/>
      </c>
    </row>
    <row r="17" spans="1:34" x14ac:dyDescent="0.35">
      <c r="A17" s="162">
        <v>7</v>
      </c>
      <c r="B17" s="163" t="s">
        <v>30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6" t="s">
        <v>71</v>
      </c>
      <c r="Q17" s="177"/>
      <c r="R17" s="179"/>
      <c r="S17" s="179"/>
      <c r="T17" s="204"/>
      <c r="U17" s="204"/>
      <c r="V17" s="2"/>
      <c r="W17" s="2"/>
      <c r="X17" s="2"/>
      <c r="AG17" t="e">
        <f>CONCATENATE(#REF!,B17)</f>
        <v>#REF!</v>
      </c>
      <c r="AH17" t="str">
        <f t="shared" si="0"/>
        <v/>
      </c>
    </row>
    <row r="18" spans="1:34" x14ac:dyDescent="0.35">
      <c r="A18" s="162">
        <v>8</v>
      </c>
      <c r="B18" s="163" t="s">
        <v>31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6" t="s">
        <v>72</v>
      </c>
      <c r="Q18" s="177"/>
      <c r="R18" s="179"/>
      <c r="S18" s="179"/>
      <c r="T18" s="204"/>
      <c r="U18" s="204"/>
      <c r="V18" s="2"/>
      <c r="W18" s="2"/>
      <c r="X18" s="2"/>
      <c r="AG18" t="e">
        <f>CONCATENATE(#REF!,B18)</f>
        <v>#REF!</v>
      </c>
      <c r="AH18" t="str">
        <f t="shared" si="0"/>
        <v/>
      </c>
    </row>
    <row r="19" spans="1:34" x14ac:dyDescent="0.35">
      <c r="A19" s="162">
        <v>9</v>
      </c>
      <c r="B19" s="163" t="s">
        <v>32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6" t="s">
        <v>72</v>
      </c>
      <c r="Q19" s="177"/>
      <c r="R19" s="179"/>
      <c r="S19" s="179"/>
      <c r="T19" s="204"/>
      <c r="U19" s="204"/>
      <c r="V19" s="2"/>
      <c r="W19" s="2"/>
      <c r="X19" s="2"/>
      <c r="AG19" t="e">
        <f>CONCATENATE(#REF!,B19)</f>
        <v>#REF!</v>
      </c>
      <c r="AH19" t="str">
        <f t="shared" si="0"/>
        <v/>
      </c>
    </row>
    <row r="20" spans="1:34" x14ac:dyDescent="0.35">
      <c r="A20" s="162">
        <v>10</v>
      </c>
      <c r="B20" s="163" t="s">
        <v>33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6" t="s">
        <v>72</v>
      </c>
      <c r="Q20" s="177"/>
      <c r="R20" s="179"/>
      <c r="S20" s="179"/>
      <c r="T20" s="204"/>
      <c r="U20" s="204"/>
      <c r="V20" s="2"/>
      <c r="W20" s="2"/>
      <c r="X20" s="2"/>
      <c r="AG20" t="e">
        <f>CONCATENATE(#REF!,B20)</f>
        <v>#REF!</v>
      </c>
      <c r="AH20" t="str">
        <f t="shared" si="0"/>
        <v/>
      </c>
    </row>
    <row r="21" spans="1:34" x14ac:dyDescent="0.35">
      <c r="A21" s="162">
        <v>11</v>
      </c>
      <c r="B21" s="164" t="s">
        <v>96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76"/>
      <c r="Q21" s="181"/>
      <c r="R21" s="176"/>
      <c r="S21" s="176"/>
      <c r="T21" s="151"/>
      <c r="U21" s="151"/>
      <c r="AG21" t="e">
        <f>CONCATENATE(#REF!,B22)</f>
        <v>#REF!</v>
      </c>
      <c r="AH21">
        <f t="shared" ref="AH21:AH37" si="1">IF(L22="","",L22/M22)</f>
        <v>472.70035335689045</v>
      </c>
    </row>
    <row r="22" spans="1:34" x14ac:dyDescent="0.35">
      <c r="A22" s="162">
        <v>12</v>
      </c>
      <c r="B22" s="163" t="s">
        <v>34</v>
      </c>
      <c r="C22" s="174">
        <v>934.55</v>
      </c>
      <c r="D22" s="175">
        <v>0</v>
      </c>
      <c r="E22" s="174">
        <v>8</v>
      </c>
      <c r="F22" s="174">
        <v>0</v>
      </c>
      <c r="G22" s="174">
        <f>C22+E22-F22</f>
        <v>942.55</v>
      </c>
      <c r="H22" s="174">
        <v>362.85</v>
      </c>
      <c r="I22" s="174">
        <v>472.7</v>
      </c>
      <c r="J22" s="174">
        <v>107</v>
      </c>
      <c r="K22" s="174">
        <f t="shared" ref="K22:K24" si="2">SUM(H22:J22)</f>
        <v>942.55</v>
      </c>
      <c r="L22" s="174">
        <v>668871</v>
      </c>
      <c r="M22" s="174">
        <v>1415</v>
      </c>
      <c r="N22" s="174">
        <f>O22*I22</f>
        <v>654878.58000000007</v>
      </c>
      <c r="O22" s="175">
        <v>1385.4</v>
      </c>
      <c r="P22" s="176" t="s">
        <v>73</v>
      </c>
      <c r="Q22" s="182">
        <f>167+300+200</f>
        <v>667</v>
      </c>
      <c r="R22" s="178"/>
      <c r="S22" s="178"/>
      <c r="T22" s="259"/>
      <c r="U22" s="259"/>
      <c r="V22" s="115"/>
      <c r="W22" s="115"/>
      <c r="X22" s="115"/>
      <c r="Z22">
        <v>180382.32</v>
      </c>
      <c r="AA22">
        <v>381.6</v>
      </c>
      <c r="AG22" t="e">
        <f>CONCATENATE(#REF!,B23)</f>
        <v>#REF!</v>
      </c>
      <c r="AH22">
        <f t="shared" si="1"/>
        <v>1297.0999999999999</v>
      </c>
    </row>
    <row r="23" spans="1:34" x14ac:dyDescent="0.35">
      <c r="A23" s="162">
        <v>13</v>
      </c>
      <c r="B23" s="163" t="s">
        <v>35</v>
      </c>
      <c r="C23" s="174">
        <v>1940</v>
      </c>
      <c r="D23" s="175">
        <v>0</v>
      </c>
      <c r="E23" s="174">
        <f>11+60</f>
        <v>71</v>
      </c>
      <c r="F23" s="174">
        <v>50</v>
      </c>
      <c r="G23" s="174">
        <f>C23+E23-F23</f>
        <v>1961</v>
      </c>
      <c r="H23" s="174">
        <f>417.9-50+60</f>
        <v>427.9</v>
      </c>
      <c r="I23" s="174">
        <f>1247.1+50</f>
        <v>1297.0999999999999</v>
      </c>
      <c r="J23" s="174">
        <f>286-50</f>
        <v>236</v>
      </c>
      <c r="K23" s="174">
        <f t="shared" si="2"/>
        <v>1961</v>
      </c>
      <c r="L23" s="174">
        <v>1389269</v>
      </c>
      <c r="M23" s="174">
        <f>L23/I23</f>
        <v>1071.057744198597</v>
      </c>
      <c r="N23" s="174">
        <f>O23*I23</f>
        <v>1453789.68</v>
      </c>
      <c r="O23" s="183">
        <v>1120.8</v>
      </c>
      <c r="P23" s="176" t="s">
        <v>74</v>
      </c>
      <c r="Q23" s="182">
        <f>7028-3600+20</f>
        <v>3448</v>
      </c>
      <c r="R23" s="178"/>
      <c r="S23" s="178"/>
      <c r="T23" s="259"/>
      <c r="U23" s="259"/>
      <c r="V23" s="115"/>
      <c r="W23" s="115" t="s">
        <v>201</v>
      </c>
      <c r="X23" s="115"/>
      <c r="Z23">
        <v>358915.38</v>
      </c>
      <c r="AA23">
        <v>287.8</v>
      </c>
      <c r="AG23" t="e">
        <f>CONCATENATE(#REF!,B24)</f>
        <v>#REF!</v>
      </c>
      <c r="AH23">
        <f t="shared" si="1"/>
        <v>102.00000000000001</v>
      </c>
    </row>
    <row r="24" spans="1:34" x14ac:dyDescent="0.35">
      <c r="A24" s="162">
        <v>14</v>
      </c>
      <c r="B24" s="163" t="s">
        <v>36</v>
      </c>
      <c r="C24" s="174">
        <v>114</v>
      </c>
      <c r="D24" s="175">
        <v>0</v>
      </c>
      <c r="E24" s="174">
        <v>6</v>
      </c>
      <c r="F24" s="174">
        <v>0</v>
      </c>
      <c r="G24" s="174">
        <f>C24+E24-F24</f>
        <v>120</v>
      </c>
      <c r="H24" s="175">
        <v>0</v>
      </c>
      <c r="I24" s="174">
        <v>107</v>
      </c>
      <c r="J24" s="174">
        <v>13</v>
      </c>
      <c r="K24" s="174">
        <f t="shared" si="2"/>
        <v>120</v>
      </c>
      <c r="L24" s="174">
        <v>995662.8</v>
      </c>
      <c r="M24" s="174">
        <v>9761.4</v>
      </c>
      <c r="N24" s="184">
        <f>O24*I24</f>
        <v>732971.4</v>
      </c>
      <c r="O24" s="185">
        <v>6850.2</v>
      </c>
      <c r="P24" s="176" t="s">
        <v>75</v>
      </c>
      <c r="Q24" s="182">
        <f>791</f>
        <v>791</v>
      </c>
      <c r="R24" s="178"/>
      <c r="S24" s="178"/>
      <c r="T24" s="259"/>
      <c r="U24" s="259"/>
      <c r="V24" s="115"/>
      <c r="W24" s="115"/>
      <c r="X24" s="115"/>
      <c r="Z24">
        <v>236042</v>
      </c>
      <c r="AA24">
        <v>2206</v>
      </c>
      <c r="AG24" t="e">
        <f>CONCATENATE(#REF!,B25)</f>
        <v>#REF!</v>
      </c>
      <c r="AH24" t="str">
        <f t="shared" si="1"/>
        <v/>
      </c>
    </row>
    <row r="25" spans="1:34" x14ac:dyDescent="0.35">
      <c r="A25" s="162">
        <v>15</v>
      </c>
      <c r="B25" s="163" t="s">
        <v>37</v>
      </c>
      <c r="C25" s="174"/>
      <c r="D25" s="175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6" t="s">
        <v>74</v>
      </c>
      <c r="Q25" s="179"/>
      <c r="R25" s="179"/>
      <c r="S25" s="179"/>
      <c r="T25" s="204"/>
      <c r="U25" s="204"/>
      <c r="V25" s="2"/>
      <c r="W25" s="2"/>
      <c r="X25" s="2"/>
      <c r="AG25" t="e">
        <f>CONCATENATE(#REF!,B26)</f>
        <v>#REF!</v>
      </c>
      <c r="AH25" t="str">
        <f t="shared" si="1"/>
        <v/>
      </c>
    </row>
    <row r="26" spans="1:34" x14ac:dyDescent="0.35">
      <c r="A26" s="162">
        <v>16</v>
      </c>
      <c r="B26" s="163" t="s">
        <v>38</v>
      </c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6" t="s">
        <v>76</v>
      </c>
      <c r="Q26" s="179"/>
      <c r="R26" s="179"/>
      <c r="S26" s="179"/>
      <c r="T26" s="204"/>
      <c r="U26" s="204"/>
      <c r="V26" s="2"/>
      <c r="W26" s="2"/>
      <c r="X26" s="2"/>
      <c r="AG26" t="e">
        <f>CONCATENATE(#REF!,B27)</f>
        <v>#REF!</v>
      </c>
      <c r="AH26" t="str">
        <f t="shared" si="1"/>
        <v/>
      </c>
    </row>
    <row r="27" spans="1:34" x14ac:dyDescent="0.35">
      <c r="A27" s="162">
        <v>17</v>
      </c>
      <c r="B27" s="163" t="s">
        <v>39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6" t="s">
        <v>77</v>
      </c>
      <c r="Q27" s="179"/>
      <c r="R27" s="179"/>
      <c r="S27" s="179"/>
      <c r="T27" s="204"/>
      <c r="U27" s="204"/>
      <c r="V27" s="2"/>
      <c r="W27" s="2"/>
      <c r="X27" s="2"/>
      <c r="AG27" t="e">
        <f>CONCATENATE(#REF!,B28)</f>
        <v>#REF!</v>
      </c>
      <c r="AH27" t="str">
        <f t="shared" si="1"/>
        <v/>
      </c>
    </row>
    <row r="28" spans="1:34" x14ac:dyDescent="0.35">
      <c r="A28" s="162">
        <v>18</v>
      </c>
      <c r="B28" s="163" t="s">
        <v>40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6" t="s">
        <v>78</v>
      </c>
      <c r="Q28" s="179"/>
      <c r="R28" s="179"/>
      <c r="S28" s="179"/>
      <c r="T28" s="204"/>
      <c r="U28" s="204"/>
      <c r="V28" s="2"/>
      <c r="W28" s="2"/>
      <c r="X28" s="2"/>
      <c r="AG28" t="e">
        <f>CONCATENATE(#REF!,B29)</f>
        <v>#REF!</v>
      </c>
      <c r="AH28" t="str">
        <f t="shared" si="1"/>
        <v/>
      </c>
    </row>
    <row r="29" spans="1:34" x14ac:dyDescent="0.35">
      <c r="A29" s="162">
        <v>19</v>
      </c>
      <c r="B29" s="163" t="s">
        <v>41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6" t="s">
        <v>79</v>
      </c>
      <c r="Q29" s="179"/>
      <c r="R29" s="179"/>
      <c r="S29" s="179"/>
      <c r="T29" s="204"/>
      <c r="U29" s="204"/>
      <c r="V29" s="2"/>
      <c r="W29" s="2"/>
      <c r="X29" s="2"/>
      <c r="AG29" t="e">
        <f>CONCATENATE(#REF!,B30)</f>
        <v>#REF!</v>
      </c>
      <c r="AH29" t="str">
        <f t="shared" si="1"/>
        <v/>
      </c>
    </row>
    <row r="30" spans="1:34" x14ac:dyDescent="0.35">
      <c r="A30" s="162">
        <v>20</v>
      </c>
      <c r="B30" s="163" t="s">
        <v>42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6" t="s">
        <v>80</v>
      </c>
      <c r="Q30" s="179"/>
      <c r="R30" s="179"/>
      <c r="S30" s="179"/>
      <c r="T30" s="204"/>
      <c r="U30" s="204"/>
      <c r="V30" s="2"/>
      <c r="W30" s="2"/>
      <c r="X30" s="2"/>
      <c r="AG30" t="e">
        <f>CONCATENATE(#REF!,B31)</f>
        <v>#REF!</v>
      </c>
      <c r="AH30" t="str">
        <f t="shared" si="1"/>
        <v/>
      </c>
    </row>
    <row r="31" spans="1:34" x14ac:dyDescent="0.35">
      <c r="A31" s="162">
        <v>21</v>
      </c>
      <c r="B31" s="163" t="s">
        <v>43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6" t="s">
        <v>69</v>
      </c>
      <c r="Q31" s="179"/>
      <c r="R31" s="179"/>
      <c r="S31" s="179"/>
      <c r="T31" s="204"/>
      <c r="U31" s="204"/>
      <c r="V31" s="2"/>
      <c r="W31" s="2"/>
      <c r="X31" s="2"/>
      <c r="AG31" t="e">
        <f>CONCATENATE(#REF!,B32)</f>
        <v>#REF!</v>
      </c>
      <c r="AH31" t="str">
        <f t="shared" si="1"/>
        <v/>
      </c>
    </row>
    <row r="32" spans="1:34" x14ac:dyDescent="0.35">
      <c r="A32" s="162">
        <v>22</v>
      </c>
      <c r="B32" s="163" t="s">
        <v>44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6" t="s">
        <v>81</v>
      </c>
      <c r="Q32" s="179"/>
      <c r="R32" s="179"/>
      <c r="S32" s="179"/>
      <c r="T32" s="204"/>
      <c r="U32" s="204"/>
      <c r="V32" s="2"/>
      <c r="W32" s="2"/>
      <c r="X32" s="2"/>
      <c r="AG32" t="e">
        <f>CONCATENATE(#REF!,B33)</f>
        <v>#REF!</v>
      </c>
      <c r="AH32">
        <f t="shared" si="1"/>
        <v>19.669920922538513</v>
      </c>
    </row>
    <row r="33" spans="1:34" x14ac:dyDescent="0.35">
      <c r="A33" s="162">
        <v>23</v>
      </c>
      <c r="B33" s="163" t="s">
        <v>45</v>
      </c>
      <c r="C33" s="174">
        <v>66.94</v>
      </c>
      <c r="D33" s="175">
        <v>0</v>
      </c>
      <c r="E33" s="175">
        <v>0</v>
      </c>
      <c r="F33" s="174">
        <v>0</v>
      </c>
      <c r="G33" s="174">
        <f>C33+E33-F33</f>
        <v>66.94</v>
      </c>
      <c r="H33" s="174">
        <f>36.94-5</f>
        <v>31.939999999999998</v>
      </c>
      <c r="I33" s="174">
        <f>19.67+5</f>
        <v>24.67</v>
      </c>
      <c r="J33" s="174">
        <v>10.33</v>
      </c>
      <c r="K33" s="174">
        <f t="shared" ref="K33:K34" si="3">SUM(H33:J33)</f>
        <v>66.94</v>
      </c>
      <c r="L33" s="174">
        <v>20571</v>
      </c>
      <c r="M33" s="174">
        <v>1045.81</v>
      </c>
      <c r="N33" s="186">
        <f>O33*I33</f>
        <v>11964.95</v>
      </c>
      <c r="O33" s="186">
        <v>485</v>
      </c>
      <c r="P33" s="176" t="s">
        <v>81</v>
      </c>
      <c r="Q33" s="187">
        <f>987-600</f>
        <v>387</v>
      </c>
      <c r="R33" s="178"/>
      <c r="S33" s="178"/>
      <c r="T33" s="259"/>
      <c r="U33" s="259"/>
      <c r="V33" s="115"/>
      <c r="W33" s="115"/>
      <c r="X33" s="115"/>
      <c r="Z33">
        <v>0</v>
      </c>
      <c r="AA33">
        <v>0</v>
      </c>
      <c r="AG33" t="e">
        <f>CONCATENATE(#REF!,B34)</f>
        <v>#REF!</v>
      </c>
      <c r="AH33">
        <f t="shared" si="1"/>
        <v>5</v>
      </c>
    </row>
    <row r="34" spans="1:34" x14ac:dyDescent="0.35">
      <c r="A34" s="162">
        <v>24</v>
      </c>
      <c r="B34" s="163" t="s">
        <v>46</v>
      </c>
      <c r="C34" s="174">
        <v>18.11</v>
      </c>
      <c r="D34" s="175">
        <v>0</v>
      </c>
      <c r="E34" s="175">
        <v>0</v>
      </c>
      <c r="F34" s="175">
        <v>0</v>
      </c>
      <c r="G34" s="174">
        <f>C34+E34-F34</f>
        <v>18.11</v>
      </c>
      <c r="H34" s="174">
        <f>13.11-5</f>
        <v>8.11</v>
      </c>
      <c r="I34" s="174">
        <f>5+5</f>
        <v>10</v>
      </c>
      <c r="J34" s="175">
        <v>0</v>
      </c>
      <c r="K34" s="174">
        <f t="shared" si="3"/>
        <v>18.11</v>
      </c>
      <c r="L34" s="174">
        <v>2875</v>
      </c>
      <c r="M34" s="174">
        <v>575</v>
      </c>
      <c r="N34" s="186">
        <f t="shared" ref="N34" si="4">O34*I34</f>
        <v>6305.4</v>
      </c>
      <c r="O34" s="174">
        <v>630.54</v>
      </c>
      <c r="P34" s="176" t="s">
        <v>72</v>
      </c>
      <c r="Q34" s="177">
        <f>115-30</f>
        <v>85</v>
      </c>
      <c r="R34" s="178"/>
      <c r="S34" s="178"/>
      <c r="T34" s="259"/>
      <c r="U34" s="259"/>
      <c r="V34" s="115"/>
      <c r="W34" s="115"/>
      <c r="X34" s="115"/>
      <c r="Z34">
        <v>0</v>
      </c>
      <c r="AA34">
        <v>0</v>
      </c>
      <c r="AG34" t="e">
        <f>CONCATENATE(#REF!,B35)</f>
        <v>#REF!</v>
      </c>
      <c r="AH34" t="str">
        <f t="shared" si="1"/>
        <v/>
      </c>
    </row>
    <row r="35" spans="1:34" x14ac:dyDescent="0.35">
      <c r="A35" s="162">
        <v>25</v>
      </c>
      <c r="B35" s="163" t="s">
        <v>47</v>
      </c>
      <c r="C35" s="174"/>
      <c r="D35" s="174"/>
      <c r="E35" s="174"/>
      <c r="F35" s="174"/>
      <c r="G35" s="174"/>
      <c r="H35" s="174"/>
      <c r="I35" s="174"/>
      <c r="J35" s="174" t="s">
        <v>94</v>
      </c>
      <c r="K35" s="174"/>
      <c r="L35" s="174"/>
      <c r="M35" s="174"/>
      <c r="N35" s="186"/>
      <c r="O35" s="174"/>
      <c r="P35" s="176" t="s">
        <v>75</v>
      </c>
      <c r="Q35" s="177"/>
      <c r="R35" s="179"/>
      <c r="S35" s="179"/>
      <c r="T35" s="204"/>
      <c r="U35" s="204"/>
      <c r="V35" s="2"/>
      <c r="W35" s="2"/>
      <c r="X35" s="2"/>
      <c r="AG35" t="e">
        <f>CONCATENATE(#REF!,B36)</f>
        <v>#REF!</v>
      </c>
      <c r="AH35">
        <f t="shared" si="1"/>
        <v>12.5</v>
      </c>
    </row>
    <row r="36" spans="1:34" x14ac:dyDescent="0.35">
      <c r="A36" s="162">
        <v>26</v>
      </c>
      <c r="B36" s="163" t="s">
        <v>48</v>
      </c>
      <c r="C36" s="174">
        <v>156.94999999999999</v>
      </c>
      <c r="D36" s="175">
        <v>0</v>
      </c>
      <c r="E36" s="174">
        <v>0</v>
      </c>
      <c r="F36" s="174">
        <v>0</v>
      </c>
      <c r="G36" s="174">
        <f>C36+E36-F36</f>
        <v>156.94999999999999</v>
      </c>
      <c r="H36" s="174">
        <f>143.7-15</f>
        <v>128.69999999999999</v>
      </c>
      <c r="I36" s="174">
        <f>12.5+15</f>
        <v>27.5</v>
      </c>
      <c r="J36" s="174">
        <v>0.75</v>
      </c>
      <c r="K36" s="174">
        <f>SUM(H36:J36)</f>
        <v>156.94999999999999</v>
      </c>
      <c r="L36" s="174">
        <v>3225</v>
      </c>
      <c r="M36" s="174">
        <v>258</v>
      </c>
      <c r="N36" s="174">
        <f>O36*I36</f>
        <v>7988.75</v>
      </c>
      <c r="O36" s="175">
        <v>290.5</v>
      </c>
      <c r="P36" s="176" t="s">
        <v>72</v>
      </c>
      <c r="Q36" s="187">
        <f>312+20</f>
        <v>332</v>
      </c>
      <c r="R36" s="179"/>
      <c r="S36" s="179"/>
      <c r="T36" s="204"/>
      <c r="U36" s="204"/>
      <c r="V36" s="2"/>
      <c r="W36" s="2"/>
      <c r="X36" s="2"/>
      <c r="Z36">
        <v>0</v>
      </c>
      <c r="AA36">
        <v>0</v>
      </c>
      <c r="AG36" t="e">
        <f>CONCATENATE(#REF!,B37)</f>
        <v>#REF!</v>
      </c>
      <c r="AH36" t="str">
        <f t="shared" si="1"/>
        <v/>
      </c>
    </row>
    <row r="37" spans="1:34" x14ac:dyDescent="0.35">
      <c r="A37" s="162">
        <v>27</v>
      </c>
      <c r="B37" s="163" t="s">
        <v>49</v>
      </c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6" t="s">
        <v>84</v>
      </c>
      <c r="Q37" s="179"/>
      <c r="R37" s="179"/>
      <c r="S37" s="179"/>
      <c r="T37" s="204"/>
      <c r="U37" s="204"/>
      <c r="V37" s="2"/>
      <c r="W37" s="2"/>
      <c r="X37" s="2"/>
      <c r="AG37" t="e">
        <f>CONCATENATE(#REF!,B38)</f>
        <v>#REF!</v>
      </c>
      <c r="AH37" t="str">
        <f t="shared" si="1"/>
        <v/>
      </c>
    </row>
    <row r="38" spans="1:34" x14ac:dyDescent="0.35">
      <c r="A38" s="162">
        <v>28</v>
      </c>
      <c r="B38" s="163" t="s">
        <v>50</v>
      </c>
      <c r="C38" s="162"/>
      <c r="D38" s="162"/>
      <c r="E38" s="162"/>
      <c r="F38" s="162"/>
      <c r="G38" s="162"/>
      <c r="H38" s="162"/>
      <c r="I38" s="162"/>
      <c r="J38" s="162"/>
      <c r="K38" s="174"/>
      <c r="L38" s="162"/>
      <c r="M38" s="162"/>
      <c r="N38" s="162"/>
      <c r="O38" s="162"/>
      <c r="P38" s="176" t="s">
        <v>77</v>
      </c>
      <c r="Q38" s="179"/>
      <c r="R38" s="179"/>
      <c r="S38" s="179"/>
      <c r="T38" s="204"/>
      <c r="U38" s="204"/>
      <c r="V38" s="2"/>
      <c r="W38" s="2"/>
      <c r="X38" s="2"/>
      <c r="AG38" t="e">
        <f>CONCATENATE(#REF!,#REF!)</f>
        <v>#REF!</v>
      </c>
    </row>
    <row r="39" spans="1:34" x14ac:dyDescent="0.35">
      <c r="A39" s="162">
        <v>29</v>
      </c>
      <c r="B39" s="163" t="s">
        <v>51</v>
      </c>
      <c r="C39" s="162"/>
      <c r="D39" s="162"/>
      <c r="E39" s="162"/>
      <c r="F39" s="162"/>
      <c r="G39" s="162"/>
      <c r="H39" s="162"/>
      <c r="I39" s="162"/>
      <c r="J39" s="162"/>
      <c r="K39" s="174"/>
      <c r="L39" s="162"/>
      <c r="M39" s="162"/>
      <c r="N39" s="162"/>
      <c r="O39" s="162"/>
      <c r="P39" s="176" t="s">
        <v>82</v>
      </c>
      <c r="Q39" s="179"/>
      <c r="R39" s="179"/>
      <c r="S39" s="179"/>
      <c r="T39" s="204"/>
      <c r="U39" s="204"/>
      <c r="V39" s="2"/>
      <c r="W39" s="2"/>
      <c r="X39" s="2"/>
      <c r="AG39" t="e">
        <f>CONCATENATE(#REF!,B40)</f>
        <v>#REF!</v>
      </c>
      <c r="AH39" t="str">
        <f>IF(L40="","",L40/M40)</f>
        <v/>
      </c>
    </row>
    <row r="40" spans="1:34" x14ac:dyDescent="0.35">
      <c r="A40" s="162">
        <v>30</v>
      </c>
      <c r="B40" s="163" t="s">
        <v>52</v>
      </c>
      <c r="C40" s="162"/>
      <c r="D40" s="162"/>
      <c r="E40" s="162"/>
      <c r="F40" s="162"/>
      <c r="G40" s="162"/>
      <c r="H40" s="162"/>
      <c r="I40" s="162"/>
      <c r="J40" s="162"/>
      <c r="K40" s="174"/>
      <c r="L40" s="162"/>
      <c r="M40" s="162"/>
      <c r="N40" s="162"/>
      <c r="O40" s="162"/>
      <c r="P40" s="176" t="s">
        <v>83</v>
      </c>
      <c r="Q40" s="179"/>
      <c r="R40" s="179"/>
      <c r="S40" s="179"/>
      <c r="T40" s="204"/>
      <c r="U40" s="204"/>
      <c r="V40" s="2"/>
      <c r="W40" s="2"/>
      <c r="X40" s="2"/>
    </row>
    <row r="41" spans="1:34" x14ac:dyDescent="0.35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2"/>
      <c r="L41" s="151"/>
      <c r="M41" s="151"/>
      <c r="N41" s="151"/>
      <c r="O41" s="151"/>
      <c r="P41" s="151"/>
      <c r="Q41" s="151"/>
      <c r="R41" s="151"/>
      <c r="S41" s="151"/>
      <c r="T41" s="151"/>
      <c r="U41" s="151"/>
    </row>
    <row r="42" spans="1:34" x14ac:dyDescent="0.35">
      <c r="A42" s="151"/>
      <c r="B42" s="151"/>
      <c r="C42" s="286" t="s">
        <v>111</v>
      </c>
      <c r="D42" s="286"/>
      <c r="E42" s="151"/>
      <c r="F42" s="151"/>
      <c r="G42" s="151"/>
      <c r="H42" s="151"/>
      <c r="I42" s="151"/>
      <c r="J42" s="151"/>
      <c r="K42" s="152"/>
      <c r="L42" s="151"/>
      <c r="M42" s="151"/>
      <c r="N42" s="151"/>
      <c r="O42" s="151"/>
      <c r="P42" s="151"/>
      <c r="Q42" s="151"/>
      <c r="R42" s="151"/>
      <c r="S42" s="151"/>
      <c r="T42" s="151"/>
      <c r="U42" s="151"/>
    </row>
    <row r="43" spans="1:34" x14ac:dyDescent="0.35">
      <c r="A43" s="151"/>
      <c r="B43" s="151"/>
      <c r="C43" s="286" t="s">
        <v>112</v>
      </c>
      <c r="D43" s="286"/>
      <c r="E43" s="151"/>
      <c r="F43" s="151"/>
      <c r="G43" s="151"/>
      <c r="H43" s="151"/>
      <c r="I43" s="151"/>
      <c r="J43" s="151"/>
      <c r="K43" s="152"/>
      <c r="L43" s="151"/>
      <c r="M43" s="151"/>
      <c r="N43" s="151"/>
      <c r="O43" s="151"/>
      <c r="P43" s="286" t="s">
        <v>110</v>
      </c>
      <c r="Q43" s="286"/>
      <c r="R43" s="286"/>
      <c r="S43" s="151"/>
      <c r="T43" s="151"/>
      <c r="U43" s="151"/>
    </row>
    <row r="44" spans="1:34" x14ac:dyDescent="0.35">
      <c r="A44" s="151"/>
      <c r="B44" s="151"/>
      <c r="C44" s="190"/>
      <c r="D44" s="190"/>
      <c r="E44" s="151"/>
      <c r="F44" s="151"/>
      <c r="G44" s="151"/>
      <c r="H44" s="151"/>
      <c r="I44" s="151"/>
      <c r="J44" s="151"/>
      <c r="K44" s="152"/>
      <c r="L44" s="151"/>
      <c r="M44" s="151"/>
      <c r="N44" s="151"/>
      <c r="O44" s="151"/>
      <c r="P44" s="190"/>
      <c r="Q44" s="190"/>
      <c r="R44" s="190"/>
      <c r="S44" s="151"/>
      <c r="T44" s="151"/>
      <c r="U44" s="151"/>
    </row>
    <row r="45" spans="1:34" x14ac:dyDescent="0.35">
      <c r="A45" s="151"/>
      <c r="B45" s="151"/>
      <c r="C45" s="190"/>
      <c r="D45" s="190"/>
      <c r="E45" s="151"/>
      <c r="F45" s="151"/>
      <c r="G45" s="151"/>
      <c r="H45" s="151"/>
      <c r="I45" s="151"/>
      <c r="J45" s="151"/>
      <c r="K45" s="152"/>
      <c r="L45" s="151"/>
      <c r="M45" s="151"/>
      <c r="N45" s="151"/>
      <c r="O45" s="151"/>
      <c r="P45" s="190"/>
      <c r="Q45" s="190"/>
      <c r="R45" s="190"/>
      <c r="S45" s="151"/>
      <c r="T45" s="151"/>
      <c r="U45" s="151"/>
    </row>
    <row r="46" spans="1:34" x14ac:dyDescent="0.35">
      <c r="A46" s="151"/>
      <c r="B46" s="151"/>
      <c r="C46" s="190"/>
      <c r="D46" s="190"/>
      <c r="E46" s="151"/>
      <c r="F46" s="151"/>
      <c r="G46" s="151"/>
      <c r="H46" s="151"/>
      <c r="I46" s="151"/>
      <c r="J46" s="151"/>
      <c r="K46" s="152"/>
      <c r="L46" s="151"/>
      <c r="M46" s="151"/>
      <c r="N46" s="151"/>
      <c r="O46" s="151"/>
      <c r="P46" s="190"/>
      <c r="Q46" s="190"/>
      <c r="R46" s="190"/>
      <c r="S46" s="151"/>
      <c r="T46" s="151"/>
      <c r="U46" s="151"/>
    </row>
    <row r="47" spans="1:34" x14ac:dyDescent="0.35">
      <c r="A47" s="151"/>
      <c r="B47" s="151"/>
      <c r="C47" s="287" t="s">
        <v>117</v>
      </c>
      <c r="D47" s="287"/>
      <c r="E47" s="151"/>
      <c r="F47" s="151"/>
      <c r="G47" s="151"/>
      <c r="H47" s="151"/>
      <c r="I47" s="151"/>
      <c r="J47" s="151"/>
      <c r="K47" s="152"/>
      <c r="L47" s="151"/>
      <c r="M47" s="151"/>
      <c r="N47" s="151"/>
      <c r="O47" s="151"/>
      <c r="P47" s="287" t="s">
        <v>119</v>
      </c>
      <c r="Q47" s="287"/>
      <c r="R47" s="287"/>
      <c r="S47" s="151"/>
      <c r="T47" s="151"/>
      <c r="U47" s="151"/>
    </row>
    <row r="48" spans="1:34" x14ac:dyDescent="0.35">
      <c r="A48" s="151"/>
      <c r="B48" s="151"/>
      <c r="C48" s="286" t="s">
        <v>118</v>
      </c>
      <c r="D48" s="286"/>
      <c r="E48" s="151"/>
      <c r="F48" s="151"/>
      <c r="G48" s="151"/>
      <c r="H48" s="151"/>
      <c r="I48" s="151"/>
      <c r="J48" s="151"/>
      <c r="K48" s="152"/>
      <c r="L48" s="151"/>
      <c r="M48" s="151"/>
      <c r="N48" s="151"/>
      <c r="O48" s="151"/>
      <c r="P48" s="286" t="s">
        <v>120</v>
      </c>
      <c r="Q48" s="286"/>
      <c r="R48" s="286"/>
      <c r="S48" s="151"/>
      <c r="T48" s="151"/>
      <c r="U48" s="151"/>
    </row>
    <row r="49" spans="1:21" x14ac:dyDescent="0.35">
      <c r="A49" s="151"/>
      <c r="B49" s="151"/>
      <c r="C49" s="190"/>
      <c r="D49" s="190"/>
      <c r="E49" s="151"/>
      <c r="F49" s="151"/>
      <c r="G49" s="151"/>
      <c r="H49" s="151"/>
      <c r="I49" s="151"/>
      <c r="J49" s="151"/>
      <c r="K49" s="152"/>
      <c r="L49" s="151"/>
      <c r="M49" s="151"/>
      <c r="N49" s="151"/>
      <c r="O49" s="151"/>
      <c r="P49" s="151"/>
      <c r="Q49" s="151"/>
      <c r="R49" s="151"/>
      <c r="S49" s="151"/>
      <c r="T49" s="151"/>
      <c r="U49" s="151"/>
    </row>
    <row r="107884" spans="7:7" x14ac:dyDescent="0.35">
      <c r="G107884" t="s">
        <v>94</v>
      </c>
    </row>
  </sheetData>
  <mergeCells count="20">
    <mergeCell ref="C42:D42"/>
    <mergeCell ref="C43:D43"/>
    <mergeCell ref="C47:D47"/>
    <mergeCell ref="C48:D48"/>
    <mergeCell ref="P43:R43"/>
    <mergeCell ref="P47:R47"/>
    <mergeCell ref="P48:R48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  <mergeCell ref="P5:Q5"/>
    <mergeCell ref="P6:Q6"/>
  </mergeCells>
  <pageMargins left="0.25" right="0.25" top="0.31496062992126" bottom="0.23622047244094499" header="0.196850393700787" footer="0.15748031496063"/>
  <pageSetup paperSize="5" scale="7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E47"/>
  <sheetViews>
    <sheetView topLeftCell="C6" zoomScaleNormal="100" workbookViewId="0">
      <pane ySplit="3000" topLeftCell="A15" activePane="bottomLeft"/>
      <selection activeCell="C6" sqref="C6"/>
      <selection pane="bottomLeft" activeCell="O37" sqref="O37"/>
    </sheetView>
  </sheetViews>
  <sheetFormatPr defaultRowHeight="14.5" x14ac:dyDescent="0.35"/>
  <cols>
    <col min="1" max="1" width="4.26953125" customWidth="1"/>
    <col min="2" max="2" width="18.453125" customWidth="1"/>
    <col min="3" max="3" width="16.54296875" customWidth="1"/>
    <col min="4" max="4" width="12" customWidth="1"/>
    <col min="5" max="5" width="13" customWidth="1"/>
    <col min="6" max="6" width="12.7265625" bestFit="1" customWidth="1"/>
    <col min="7" max="7" width="10" customWidth="1"/>
    <col min="8" max="9" width="7.81640625" customWidth="1"/>
    <col min="10" max="10" width="8.26953125" customWidth="1"/>
    <col min="11" max="11" width="10.453125" customWidth="1"/>
    <col min="12" max="12" width="12.81640625" bestFit="1" customWidth="1"/>
    <col min="13" max="13" width="11.1796875" bestFit="1" customWidth="1"/>
    <col min="14" max="14" width="12.54296875" customWidth="1"/>
    <col min="15" max="15" width="11.26953125" customWidth="1"/>
    <col min="16" max="16" width="15.26953125" bestFit="1" customWidth="1"/>
    <col min="17" max="17" width="10.7265625" customWidth="1"/>
    <col min="18" max="18" width="6.54296875" customWidth="1"/>
    <col min="19" max="19" width="5.54296875" customWidth="1"/>
    <col min="20" max="20" width="11.1796875" customWidth="1"/>
    <col min="23" max="23" width="11" bestFit="1" customWidth="1"/>
    <col min="30" max="31" width="9.1796875" hidden="1" customWidth="1"/>
  </cols>
  <sheetData>
    <row r="1" spans="1:31" x14ac:dyDescent="0.35">
      <c r="A1" s="1" t="s">
        <v>57</v>
      </c>
    </row>
    <row r="2" spans="1:31" x14ac:dyDescent="0.35">
      <c r="A2" s="2"/>
    </row>
    <row r="3" spans="1:31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113"/>
    </row>
    <row r="4" spans="1:31" x14ac:dyDescent="0.35">
      <c r="A4" s="1"/>
      <c r="R4" s="5"/>
      <c r="S4" s="6"/>
      <c r="T4" s="6"/>
    </row>
    <row r="5" spans="1:31" x14ac:dyDescent="0.35">
      <c r="A5" s="1" t="s">
        <v>175</v>
      </c>
      <c r="C5" t="s">
        <v>183</v>
      </c>
      <c r="E5" s="33"/>
      <c r="Q5" t="s">
        <v>60</v>
      </c>
      <c r="R5" s="1">
        <v>2019</v>
      </c>
    </row>
    <row r="6" spans="1:31" x14ac:dyDescent="0.35">
      <c r="A6" s="1" t="s">
        <v>176</v>
      </c>
      <c r="C6" t="s">
        <v>184</v>
      </c>
      <c r="Q6" t="s">
        <v>93</v>
      </c>
      <c r="R6" s="1" t="s">
        <v>202</v>
      </c>
    </row>
    <row r="7" spans="1:31" x14ac:dyDescent="0.35">
      <c r="A7" s="1" t="s">
        <v>177</v>
      </c>
      <c r="C7" t="s">
        <v>174</v>
      </c>
    </row>
    <row r="8" spans="1:31" s="11" customFormat="1" x14ac:dyDescent="0.35">
      <c r="A8" s="290" t="s">
        <v>3</v>
      </c>
      <c r="B8" s="290" t="s">
        <v>4</v>
      </c>
      <c r="C8" s="290" t="s">
        <v>23</v>
      </c>
      <c r="D8" s="290" t="s">
        <v>6</v>
      </c>
      <c r="E8" s="290"/>
      <c r="F8" s="290"/>
      <c r="G8" s="290"/>
      <c r="H8" s="290"/>
      <c r="I8" s="290"/>
      <c r="J8" s="290"/>
      <c r="K8" s="290"/>
      <c r="L8" s="290" t="s">
        <v>22</v>
      </c>
      <c r="M8" s="290"/>
      <c r="N8" s="290"/>
      <c r="O8" s="290"/>
      <c r="P8" s="8"/>
      <c r="Q8" s="9"/>
      <c r="R8" s="10"/>
      <c r="S8" s="8"/>
      <c r="AD8" s="11" t="s">
        <v>54</v>
      </c>
      <c r="AE8" s="11" t="s">
        <v>54</v>
      </c>
    </row>
    <row r="9" spans="1:31" s="11" customFormat="1" ht="29" x14ac:dyDescent="0.35">
      <c r="A9" s="290"/>
      <c r="B9" s="290"/>
      <c r="C9" s="290"/>
      <c r="D9" s="291" t="s">
        <v>7</v>
      </c>
      <c r="E9" s="291"/>
      <c r="F9" s="291"/>
      <c r="G9" s="291"/>
      <c r="H9" s="291" t="s">
        <v>12</v>
      </c>
      <c r="I9" s="291"/>
      <c r="J9" s="291"/>
      <c r="K9" s="291"/>
      <c r="L9" s="291" t="s">
        <v>13</v>
      </c>
      <c r="M9" s="291"/>
      <c r="N9" s="291" t="s">
        <v>15</v>
      </c>
      <c r="O9" s="291"/>
      <c r="P9" s="12"/>
      <c r="Q9" s="288" t="s">
        <v>17</v>
      </c>
      <c r="R9" s="289"/>
      <c r="S9" s="12" t="s">
        <v>166</v>
      </c>
      <c r="T9" s="114"/>
      <c r="W9" s="11" t="s">
        <v>15</v>
      </c>
      <c r="AD9" s="11" t="s">
        <v>56</v>
      </c>
      <c r="AE9" s="11" t="s">
        <v>56</v>
      </c>
    </row>
    <row r="10" spans="1:31" s="11" customFormat="1" ht="43.5" x14ac:dyDescent="0.35">
      <c r="A10" s="290"/>
      <c r="B10" s="290"/>
      <c r="C10" s="290"/>
      <c r="D10" s="13" t="s">
        <v>8</v>
      </c>
      <c r="E10" s="13" t="s">
        <v>9</v>
      </c>
      <c r="F10" s="13" t="s">
        <v>10</v>
      </c>
      <c r="G10" s="13" t="s">
        <v>11</v>
      </c>
      <c r="H10" s="13" t="s">
        <v>0</v>
      </c>
      <c r="I10" s="13" t="s">
        <v>1</v>
      </c>
      <c r="J10" s="13" t="s">
        <v>2</v>
      </c>
      <c r="K10" s="13" t="s">
        <v>11</v>
      </c>
      <c r="L10" s="13" t="s">
        <v>14</v>
      </c>
      <c r="M10" s="13" t="s">
        <v>21</v>
      </c>
      <c r="N10" s="13" t="s">
        <v>14</v>
      </c>
      <c r="O10" s="13" t="s">
        <v>21</v>
      </c>
      <c r="P10" s="14" t="s">
        <v>16</v>
      </c>
      <c r="Q10" s="13" t="s">
        <v>19</v>
      </c>
      <c r="R10" s="13" t="s">
        <v>20</v>
      </c>
      <c r="S10" s="14"/>
      <c r="T10" s="114"/>
      <c r="W10" s="11" t="s">
        <v>14</v>
      </c>
      <c r="X10" s="11" t="s">
        <v>21</v>
      </c>
      <c r="AD10" s="11" t="s">
        <v>55</v>
      </c>
      <c r="AE10" s="11" t="s">
        <v>55</v>
      </c>
    </row>
    <row r="11" spans="1:31" x14ac:dyDescent="0.35">
      <c r="A11" s="89">
        <v>1</v>
      </c>
      <c r="B11" s="82" t="s">
        <v>5</v>
      </c>
      <c r="C11" s="95">
        <v>19</v>
      </c>
      <c r="D11" s="96">
        <v>0</v>
      </c>
      <c r="E11" s="96">
        <v>5</v>
      </c>
      <c r="F11" s="96">
        <v>0</v>
      </c>
      <c r="G11" s="95">
        <f>C11+E11-F11</f>
        <v>24</v>
      </c>
      <c r="H11" s="95">
        <v>3</v>
      </c>
      <c r="I11" s="95">
        <v>9.5</v>
      </c>
      <c r="J11" s="95">
        <f>1.5+10</f>
        <v>11.5</v>
      </c>
      <c r="K11" s="95">
        <f>SUM(H11:J11)</f>
        <v>24</v>
      </c>
      <c r="L11" s="95">
        <v>13792.5</v>
      </c>
      <c r="M11" s="95">
        <v>1839</v>
      </c>
      <c r="N11" s="95">
        <f>O11*I11</f>
        <v>12711</v>
      </c>
      <c r="O11" s="95">
        <v>1338</v>
      </c>
      <c r="P11" s="82" t="s">
        <v>67</v>
      </c>
      <c r="Q11" s="89">
        <f>77+15</f>
        <v>92</v>
      </c>
      <c r="R11" s="93"/>
      <c r="S11" s="93"/>
      <c r="T11" s="116"/>
      <c r="W11" s="28">
        <v>5401.6050000000005</v>
      </c>
      <c r="X11">
        <v>568.59</v>
      </c>
      <c r="AD11" t="e">
        <f>CONCATENATE(#REF!,B11)</f>
        <v>#REF!</v>
      </c>
      <c r="AE11">
        <f>IF(L11="","",L11/M11)</f>
        <v>7.5</v>
      </c>
    </row>
    <row r="12" spans="1:31" x14ac:dyDescent="0.35">
      <c r="A12" s="89">
        <v>2</v>
      </c>
      <c r="B12" s="82" t="s">
        <v>25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82" t="s">
        <v>68</v>
      </c>
      <c r="Q12" s="89"/>
      <c r="R12" s="89"/>
      <c r="S12" s="89"/>
      <c r="T12" s="104"/>
      <c r="AD12" t="e">
        <f>CONCATENATE(#REF!,B12)</f>
        <v>#REF!</v>
      </c>
      <c r="AE12" t="str">
        <f t="shared" ref="AE12:AE20" si="0">IF(L12="","",L12/M12)</f>
        <v/>
      </c>
    </row>
    <row r="13" spans="1:31" x14ac:dyDescent="0.35">
      <c r="A13" s="89">
        <v>3</v>
      </c>
      <c r="B13" s="82" t="s">
        <v>26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82" t="s">
        <v>68</v>
      </c>
      <c r="Q13" s="89"/>
      <c r="R13" s="89"/>
      <c r="S13" s="89"/>
      <c r="T13" s="104"/>
      <c r="AD13" t="e">
        <f>CONCATENATE(#REF!,B13)</f>
        <v>#REF!</v>
      </c>
      <c r="AE13" t="str">
        <f t="shared" si="0"/>
        <v/>
      </c>
    </row>
    <row r="14" spans="1:31" x14ac:dyDescent="0.35">
      <c r="A14" s="89">
        <v>4</v>
      </c>
      <c r="B14" s="82" t="s">
        <v>27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82" t="s">
        <v>69</v>
      </c>
      <c r="Q14" s="89"/>
      <c r="R14" s="89"/>
      <c r="S14" s="89"/>
      <c r="T14" s="104"/>
      <c r="AD14" t="e">
        <f>CONCATENATE(#REF!,B14)</f>
        <v>#REF!</v>
      </c>
      <c r="AE14" t="str">
        <f t="shared" si="0"/>
        <v/>
      </c>
    </row>
    <row r="15" spans="1:31" x14ac:dyDescent="0.35">
      <c r="A15" s="89">
        <v>5</v>
      </c>
      <c r="B15" s="82" t="s">
        <v>28</v>
      </c>
      <c r="C15" s="95">
        <v>213.2</v>
      </c>
      <c r="D15" s="96">
        <v>0</v>
      </c>
      <c r="E15" s="96">
        <v>2</v>
      </c>
      <c r="F15" s="96">
        <v>0</v>
      </c>
      <c r="G15" s="96">
        <f>C15+E15-F15</f>
        <v>215.2</v>
      </c>
      <c r="H15" s="95">
        <f>88.4-8</f>
        <v>80.400000000000006</v>
      </c>
      <c r="I15" s="95">
        <f>79+8</f>
        <v>87</v>
      </c>
      <c r="J15" s="95">
        <v>47.8</v>
      </c>
      <c r="K15" s="95">
        <f>SUM(H15:J15)</f>
        <v>215.2</v>
      </c>
      <c r="L15" s="96">
        <v>60700</v>
      </c>
      <c r="M15" s="110">
        <v>768.35</v>
      </c>
      <c r="N15" s="110">
        <f>O15*I15</f>
        <v>28449</v>
      </c>
      <c r="O15" s="110">
        <v>327</v>
      </c>
      <c r="P15" s="82" t="s">
        <v>70</v>
      </c>
      <c r="Q15" s="93">
        <f>784</f>
        <v>784</v>
      </c>
      <c r="R15" s="93"/>
      <c r="S15" s="93"/>
      <c r="T15" s="116"/>
      <c r="W15">
        <v>0</v>
      </c>
      <c r="X15">
        <v>0</v>
      </c>
      <c r="AD15" t="e">
        <f>CONCATENATE(#REF!,B15)</f>
        <v>#REF!</v>
      </c>
      <c r="AE15">
        <f t="shared" si="0"/>
        <v>79.000455521572192</v>
      </c>
    </row>
    <row r="16" spans="1:31" x14ac:dyDescent="0.35">
      <c r="A16" s="89">
        <v>6</v>
      </c>
      <c r="B16" s="82" t="s">
        <v>29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01"/>
      <c r="N16" s="101"/>
      <c r="O16" s="101"/>
      <c r="P16" s="82" t="s">
        <v>70</v>
      </c>
      <c r="Q16" s="89"/>
      <c r="R16" s="89"/>
      <c r="S16" s="89"/>
      <c r="T16" s="104"/>
      <c r="W16" s="28"/>
      <c r="AD16" t="e">
        <f>CONCATENATE(#REF!,B16)</f>
        <v>#REF!</v>
      </c>
      <c r="AE16" t="str">
        <f t="shared" si="0"/>
        <v/>
      </c>
    </row>
    <row r="17" spans="1:31" x14ac:dyDescent="0.35">
      <c r="A17" s="89">
        <v>7</v>
      </c>
      <c r="B17" s="82" t="s">
        <v>30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01"/>
      <c r="N17" s="101"/>
      <c r="O17" s="101"/>
      <c r="P17" s="82" t="s">
        <v>71</v>
      </c>
      <c r="Q17" s="89"/>
      <c r="R17" s="89"/>
      <c r="S17" s="89"/>
      <c r="T17" s="104"/>
      <c r="AD17" t="e">
        <f>CONCATENATE(#REF!,B17)</f>
        <v>#REF!</v>
      </c>
      <c r="AE17" t="str">
        <f t="shared" si="0"/>
        <v/>
      </c>
    </row>
    <row r="18" spans="1:31" x14ac:dyDescent="0.35">
      <c r="A18" s="89">
        <v>8</v>
      </c>
      <c r="B18" s="82" t="s">
        <v>31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101"/>
      <c r="N18" s="101"/>
      <c r="O18" s="101"/>
      <c r="P18" s="82" t="s">
        <v>72</v>
      </c>
      <c r="Q18" s="89"/>
      <c r="R18" s="89"/>
      <c r="S18" s="89"/>
      <c r="T18" s="104"/>
      <c r="AD18" t="e">
        <f>CONCATENATE(#REF!,B18)</f>
        <v>#REF!</v>
      </c>
      <c r="AE18" t="str">
        <f t="shared" si="0"/>
        <v/>
      </c>
    </row>
    <row r="19" spans="1:31" x14ac:dyDescent="0.35">
      <c r="A19" s="89">
        <v>9</v>
      </c>
      <c r="B19" s="82" t="s">
        <v>32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101"/>
      <c r="N19" s="101"/>
      <c r="O19" s="101"/>
      <c r="P19" s="82" t="s">
        <v>72</v>
      </c>
      <c r="Q19" s="89"/>
      <c r="R19" s="89"/>
      <c r="S19" s="89"/>
      <c r="T19" s="104"/>
      <c r="AD19" t="e">
        <f>CONCATENATE(#REF!,B19)</f>
        <v>#REF!</v>
      </c>
      <c r="AE19" t="str">
        <f t="shared" si="0"/>
        <v/>
      </c>
    </row>
    <row r="20" spans="1:31" x14ac:dyDescent="0.35">
      <c r="A20" s="89">
        <v>10</v>
      </c>
      <c r="B20" s="82" t="s">
        <v>33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101"/>
      <c r="N20" s="101"/>
      <c r="O20" s="101"/>
      <c r="P20" s="82" t="s">
        <v>72</v>
      </c>
      <c r="Q20" s="89"/>
      <c r="R20" s="89"/>
      <c r="S20" s="89"/>
      <c r="T20" s="104"/>
      <c r="AD20" t="e">
        <f>CONCATENATE(#REF!,B20)</f>
        <v>#REF!</v>
      </c>
      <c r="AE20" t="str">
        <f t="shared" si="0"/>
        <v/>
      </c>
    </row>
    <row r="21" spans="1:31" x14ac:dyDescent="0.35">
      <c r="A21" s="89">
        <v>11</v>
      </c>
      <c r="B21" s="84" t="s">
        <v>96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111"/>
      <c r="N21" s="111"/>
      <c r="O21" s="111"/>
      <c r="P21" s="82"/>
      <c r="Q21" s="82"/>
      <c r="R21" s="82"/>
      <c r="S21" s="82"/>
      <c r="T21" s="103"/>
      <c r="AD21" t="e">
        <f>CONCATENATE(#REF!,B22)</f>
        <v>#REF!</v>
      </c>
      <c r="AE21">
        <f t="shared" ref="AE21:AE37" si="1">IF(L22="","",L22/M22)</f>
        <v>30</v>
      </c>
    </row>
    <row r="22" spans="1:31" x14ac:dyDescent="0.35">
      <c r="A22" s="89">
        <v>12</v>
      </c>
      <c r="B22" s="82" t="s">
        <v>34</v>
      </c>
      <c r="C22" s="95">
        <v>133</v>
      </c>
      <c r="D22" s="96">
        <v>0</v>
      </c>
      <c r="E22" s="96">
        <v>0</v>
      </c>
      <c r="F22" s="96">
        <v>0</v>
      </c>
      <c r="G22" s="96">
        <f>C22+E22-F22</f>
        <v>133</v>
      </c>
      <c r="H22" s="95">
        <f>90-9</f>
        <v>81</v>
      </c>
      <c r="I22" s="95">
        <f>43+9</f>
        <v>52</v>
      </c>
      <c r="J22" s="96">
        <v>0</v>
      </c>
      <c r="K22" s="95">
        <f>SUM(H22:J22)</f>
        <v>133</v>
      </c>
      <c r="L22" s="95">
        <v>42900</v>
      </c>
      <c r="M22" s="101">
        <v>1430</v>
      </c>
      <c r="N22" s="101">
        <f>O22*I22</f>
        <v>67340</v>
      </c>
      <c r="O22" s="112">
        <v>1295</v>
      </c>
      <c r="P22" s="82" t="s">
        <v>73</v>
      </c>
      <c r="Q22" s="94">
        <f>120+301+350</f>
        <v>771</v>
      </c>
      <c r="R22" s="93"/>
      <c r="S22" s="93"/>
      <c r="T22" s="116"/>
      <c r="W22">
        <v>16464.7</v>
      </c>
      <c r="X22">
        <v>382.9</v>
      </c>
      <c r="AD22" t="e">
        <f>CONCATENATE(#REF!,B23)</f>
        <v>#REF!</v>
      </c>
      <c r="AE22">
        <f t="shared" si="1"/>
        <v>851</v>
      </c>
    </row>
    <row r="23" spans="1:31" x14ac:dyDescent="0.35">
      <c r="A23" s="89">
        <v>13</v>
      </c>
      <c r="B23" s="82" t="s">
        <v>35</v>
      </c>
      <c r="C23" s="95">
        <v>1189</v>
      </c>
      <c r="D23" s="96">
        <v>0</v>
      </c>
      <c r="E23" s="96">
        <v>3</v>
      </c>
      <c r="F23" s="96">
        <v>0</v>
      </c>
      <c r="G23" s="96">
        <f t="shared" ref="G23:G24" si="2">C23+E23-F23</f>
        <v>1192</v>
      </c>
      <c r="H23" s="95">
        <f>201-20</f>
        <v>181</v>
      </c>
      <c r="I23" s="95">
        <f>851+20</f>
        <v>871</v>
      </c>
      <c r="J23" s="95">
        <v>140</v>
      </c>
      <c r="K23" s="95">
        <f t="shared" ref="K23:K24" si="3">SUM(H23:J23)</f>
        <v>1192</v>
      </c>
      <c r="L23" s="95">
        <v>448477</v>
      </c>
      <c r="M23" s="101">
        <v>527</v>
      </c>
      <c r="N23" s="101">
        <f>O23*I23</f>
        <v>901485</v>
      </c>
      <c r="O23" s="112">
        <v>1035</v>
      </c>
      <c r="P23" s="82" t="s">
        <v>74</v>
      </c>
      <c r="Q23" s="87">
        <f>5652-1700</f>
        <v>3952</v>
      </c>
      <c r="R23" s="93"/>
      <c r="S23" s="93"/>
      <c r="T23" s="116"/>
      <c r="W23">
        <v>239556.5</v>
      </c>
      <c r="X23">
        <v>281.5</v>
      </c>
      <c r="AD23" t="e">
        <f>CONCATENATE(#REF!,B24)</f>
        <v>#REF!</v>
      </c>
      <c r="AE23">
        <f t="shared" si="1"/>
        <v>201.7999995416539</v>
      </c>
    </row>
    <row r="24" spans="1:31" x14ac:dyDescent="0.35">
      <c r="A24" s="89">
        <v>14</v>
      </c>
      <c r="B24" s="82" t="s">
        <v>36</v>
      </c>
      <c r="C24" s="95">
        <v>216.6</v>
      </c>
      <c r="D24" s="96">
        <v>0</v>
      </c>
      <c r="E24" s="96">
        <v>0</v>
      </c>
      <c r="F24" s="96">
        <v>0</v>
      </c>
      <c r="G24" s="96">
        <f t="shared" si="2"/>
        <v>216.6</v>
      </c>
      <c r="H24" s="96">
        <v>0</v>
      </c>
      <c r="I24" s="95">
        <f>200.8-20</f>
        <v>180.8</v>
      </c>
      <c r="J24" s="95">
        <f>15.8+20</f>
        <v>35.799999999999997</v>
      </c>
      <c r="K24" s="95">
        <f t="shared" si="3"/>
        <v>216.60000000000002</v>
      </c>
      <c r="L24" s="95">
        <v>1761114.65</v>
      </c>
      <c r="M24" s="101" t="s">
        <v>162</v>
      </c>
      <c r="N24" s="101">
        <f>O24*I24</f>
        <v>1596102.4000000001</v>
      </c>
      <c r="O24" s="112">
        <v>8828</v>
      </c>
      <c r="P24" s="82" t="s">
        <v>75</v>
      </c>
      <c r="Q24" s="87">
        <f>1215-600</f>
        <v>615</v>
      </c>
      <c r="R24" s="93"/>
      <c r="S24" s="93"/>
      <c r="T24" s="116"/>
      <c r="W24">
        <v>442964.80000000005</v>
      </c>
      <c r="X24">
        <v>2206</v>
      </c>
      <c r="AD24" t="e">
        <f>CONCATENATE(#REF!,B25)</f>
        <v>#REF!</v>
      </c>
      <c r="AE24" t="str">
        <f t="shared" si="1"/>
        <v/>
      </c>
    </row>
    <row r="25" spans="1:31" x14ac:dyDescent="0.35">
      <c r="A25" s="89">
        <v>15</v>
      </c>
      <c r="B25" s="82" t="s">
        <v>37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101"/>
      <c r="N25" s="101"/>
      <c r="O25" s="101"/>
      <c r="P25" s="82" t="s">
        <v>74</v>
      </c>
      <c r="Q25" s="89"/>
      <c r="R25" s="89"/>
      <c r="S25" s="89"/>
      <c r="T25" s="104"/>
      <c r="AD25" t="e">
        <f>CONCATENATE(#REF!,B26)</f>
        <v>#REF!</v>
      </c>
      <c r="AE25" t="str">
        <f t="shared" si="1"/>
        <v/>
      </c>
    </row>
    <row r="26" spans="1:31" x14ac:dyDescent="0.35">
      <c r="A26" s="89">
        <v>16</v>
      </c>
      <c r="B26" s="82" t="s">
        <v>38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82" t="s">
        <v>76</v>
      </c>
      <c r="Q26" s="89"/>
      <c r="R26" s="89"/>
      <c r="S26" s="89"/>
      <c r="T26" s="104"/>
      <c r="AD26" t="e">
        <f>CONCATENATE(#REF!,B27)</f>
        <v>#REF!</v>
      </c>
      <c r="AE26" t="str">
        <f t="shared" si="1"/>
        <v/>
      </c>
    </row>
    <row r="27" spans="1:31" x14ac:dyDescent="0.35">
      <c r="A27" s="89">
        <v>17</v>
      </c>
      <c r="B27" s="82" t="s">
        <v>39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82" t="s">
        <v>77</v>
      </c>
      <c r="Q27" s="89"/>
      <c r="R27" s="89"/>
      <c r="S27" s="89"/>
      <c r="T27" s="104"/>
      <c r="AD27" t="e">
        <f>CONCATENATE(#REF!,B28)</f>
        <v>#REF!</v>
      </c>
      <c r="AE27" t="str">
        <f t="shared" si="1"/>
        <v/>
      </c>
    </row>
    <row r="28" spans="1:31" x14ac:dyDescent="0.35">
      <c r="A28" s="89">
        <v>18</v>
      </c>
      <c r="B28" s="82" t="s">
        <v>40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82" t="s">
        <v>78</v>
      </c>
      <c r="Q28" s="89"/>
      <c r="R28" s="89"/>
      <c r="S28" s="89"/>
      <c r="T28" s="104"/>
      <c r="AD28" t="e">
        <f>CONCATENATE(#REF!,B29)</f>
        <v>#REF!</v>
      </c>
      <c r="AE28" t="str">
        <f t="shared" si="1"/>
        <v/>
      </c>
    </row>
    <row r="29" spans="1:31" x14ac:dyDescent="0.35">
      <c r="A29" s="89">
        <v>19</v>
      </c>
      <c r="B29" s="82" t="s">
        <v>41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82" t="s">
        <v>79</v>
      </c>
      <c r="Q29" s="89"/>
      <c r="R29" s="89"/>
      <c r="S29" s="89"/>
      <c r="T29" s="104"/>
      <c r="AD29" t="e">
        <f>CONCATENATE(#REF!,B30)</f>
        <v>#REF!</v>
      </c>
      <c r="AE29" t="str">
        <f t="shared" si="1"/>
        <v/>
      </c>
    </row>
    <row r="30" spans="1:31" x14ac:dyDescent="0.35">
      <c r="A30" s="89">
        <v>20</v>
      </c>
      <c r="B30" s="82" t="s">
        <v>42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82" t="s">
        <v>80</v>
      </c>
      <c r="Q30" s="89"/>
      <c r="R30" s="89"/>
      <c r="S30" s="89"/>
      <c r="T30" s="104"/>
      <c r="AD30" t="e">
        <f>CONCATENATE(#REF!,B31)</f>
        <v>#REF!</v>
      </c>
      <c r="AE30" t="str">
        <f t="shared" si="1"/>
        <v/>
      </c>
    </row>
    <row r="31" spans="1:31" x14ac:dyDescent="0.35">
      <c r="A31" s="89">
        <v>21</v>
      </c>
      <c r="B31" s="82" t="s">
        <v>43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82" t="s">
        <v>69</v>
      </c>
      <c r="Q31" s="89"/>
      <c r="R31" s="89"/>
      <c r="S31" s="89"/>
      <c r="T31" s="104"/>
      <c r="AD31" t="e">
        <f>CONCATENATE(#REF!,B32)</f>
        <v>#REF!</v>
      </c>
      <c r="AE31" t="str">
        <f t="shared" si="1"/>
        <v/>
      </c>
    </row>
    <row r="32" spans="1:31" x14ac:dyDescent="0.35">
      <c r="A32" s="89">
        <v>22</v>
      </c>
      <c r="B32" s="82" t="s">
        <v>44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82" t="s">
        <v>81</v>
      </c>
      <c r="Q32" s="89"/>
      <c r="R32" s="89"/>
      <c r="S32" s="89"/>
      <c r="T32" s="104"/>
      <c r="AD32" t="e">
        <f>CONCATENATE(#REF!,B33)</f>
        <v>#REF!</v>
      </c>
      <c r="AE32" t="str">
        <f t="shared" si="1"/>
        <v/>
      </c>
    </row>
    <row r="33" spans="1:31" x14ac:dyDescent="0.35">
      <c r="A33" s="89">
        <v>23</v>
      </c>
      <c r="B33" s="82" t="s">
        <v>45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82" t="s">
        <v>81</v>
      </c>
      <c r="Q33" s="89"/>
      <c r="R33" s="89"/>
      <c r="S33" s="89"/>
      <c r="T33" s="104"/>
      <c r="AD33" t="e">
        <f>CONCATENATE(#REF!,B34)</f>
        <v>#REF!</v>
      </c>
      <c r="AE33">
        <f t="shared" si="1"/>
        <v>11.789975303488816</v>
      </c>
    </row>
    <row r="34" spans="1:31" x14ac:dyDescent="0.35">
      <c r="A34" s="89">
        <v>24</v>
      </c>
      <c r="B34" s="82" t="s">
        <v>46</v>
      </c>
      <c r="C34" s="95">
        <v>18.79</v>
      </c>
      <c r="D34" s="96">
        <v>0</v>
      </c>
      <c r="E34" s="95">
        <v>1</v>
      </c>
      <c r="F34" s="96">
        <v>0</v>
      </c>
      <c r="G34" s="96">
        <f>C34+E34-F34</f>
        <v>19.79</v>
      </c>
      <c r="H34" s="95">
        <v>3</v>
      </c>
      <c r="I34" s="95">
        <v>11.79</v>
      </c>
      <c r="J34" s="95">
        <v>5</v>
      </c>
      <c r="K34" s="95">
        <f t="shared" ref="K34" si="4">SUM(H34:J34)</f>
        <v>19.79</v>
      </c>
      <c r="L34" s="95">
        <v>6779</v>
      </c>
      <c r="M34" s="95">
        <v>574.98</v>
      </c>
      <c r="N34" s="95">
        <f>O34*I34</f>
        <v>7651.7099999999991</v>
      </c>
      <c r="O34" s="95">
        <v>649</v>
      </c>
      <c r="P34" s="82" t="s">
        <v>72</v>
      </c>
      <c r="Q34" s="93">
        <f>116-40</f>
        <v>76</v>
      </c>
      <c r="R34" s="93"/>
      <c r="S34" s="93"/>
      <c r="T34" s="116"/>
      <c r="W34">
        <v>0</v>
      </c>
      <c r="X34">
        <v>0</v>
      </c>
      <c r="AD34" t="e">
        <f>CONCATENATE(#REF!,B35)</f>
        <v>#REF!</v>
      </c>
      <c r="AE34" t="str">
        <f t="shared" si="1"/>
        <v/>
      </c>
    </row>
    <row r="35" spans="1:31" x14ac:dyDescent="0.35">
      <c r="A35" s="89">
        <v>25</v>
      </c>
      <c r="B35" s="82" t="s">
        <v>47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82" t="s">
        <v>75</v>
      </c>
      <c r="Q35" s="89"/>
      <c r="R35" s="89"/>
      <c r="S35" s="89"/>
      <c r="T35" s="104"/>
      <c r="AD35" t="e">
        <f>CONCATENATE(#REF!,B36)</f>
        <v>#REF!</v>
      </c>
      <c r="AE35">
        <f t="shared" si="1"/>
        <v>8.8001342507132065</v>
      </c>
    </row>
    <row r="36" spans="1:31" x14ac:dyDescent="0.35">
      <c r="A36" s="89">
        <v>26</v>
      </c>
      <c r="B36" s="82" t="s">
        <v>48</v>
      </c>
      <c r="C36" s="95">
        <v>343.8</v>
      </c>
      <c r="D36" s="96">
        <v>0</v>
      </c>
      <c r="E36" s="96">
        <f>4+108</f>
        <v>112</v>
      </c>
      <c r="F36" s="96">
        <v>0</v>
      </c>
      <c r="G36" s="96">
        <f t="shared" ref="G36" si="5">C36+E36-F36</f>
        <v>455.8</v>
      </c>
      <c r="H36" s="95">
        <f>324+108</f>
        <v>432</v>
      </c>
      <c r="I36" s="95">
        <v>23.8</v>
      </c>
      <c r="J36" s="96">
        <v>0</v>
      </c>
      <c r="K36" s="95">
        <f t="shared" ref="K36" si="6">SUM(H36:J36)</f>
        <v>455.8</v>
      </c>
      <c r="L36" s="95">
        <v>2622</v>
      </c>
      <c r="M36" s="95">
        <v>297.95</v>
      </c>
      <c r="N36" s="95">
        <f>O36*I36</f>
        <v>10115</v>
      </c>
      <c r="O36" s="95">
        <v>425</v>
      </c>
      <c r="P36" s="82" t="s">
        <v>72</v>
      </c>
      <c r="Q36" s="87">
        <f>2123-1867</f>
        <v>256</v>
      </c>
      <c r="R36" s="93"/>
      <c r="S36" s="93"/>
      <c r="T36" s="116"/>
      <c r="W36">
        <v>0</v>
      </c>
      <c r="X36">
        <v>0</v>
      </c>
      <c r="AD36" t="e">
        <f>CONCATENATE(#REF!,B37)</f>
        <v>#REF!</v>
      </c>
      <c r="AE36" t="str">
        <f t="shared" si="1"/>
        <v/>
      </c>
    </row>
    <row r="37" spans="1:31" x14ac:dyDescent="0.35">
      <c r="A37" s="89">
        <v>27</v>
      </c>
      <c r="B37" s="82" t="s">
        <v>49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82" t="s">
        <v>84</v>
      </c>
      <c r="Q37" s="89"/>
      <c r="R37" s="89"/>
      <c r="S37" s="89"/>
      <c r="T37" s="104"/>
      <c r="AD37" t="e">
        <f>CONCATENATE(#REF!,B38)</f>
        <v>#REF!</v>
      </c>
      <c r="AE37" t="str">
        <f t="shared" si="1"/>
        <v/>
      </c>
    </row>
    <row r="38" spans="1:31" x14ac:dyDescent="0.35">
      <c r="A38" s="89">
        <v>28</v>
      </c>
      <c r="B38" s="82" t="s">
        <v>50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82" t="s">
        <v>77</v>
      </c>
      <c r="Q38" s="89"/>
      <c r="R38" s="89"/>
      <c r="S38" s="89"/>
      <c r="T38" s="104"/>
      <c r="AD38" t="e">
        <f>CONCATENATE(#REF!,#REF!)</f>
        <v>#REF!</v>
      </c>
    </row>
    <row r="39" spans="1:31" x14ac:dyDescent="0.35">
      <c r="A39" s="89">
        <v>29</v>
      </c>
      <c r="B39" s="82" t="s">
        <v>51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82" t="s">
        <v>82</v>
      </c>
      <c r="Q39" s="89"/>
      <c r="R39" s="89"/>
      <c r="S39" s="89"/>
      <c r="T39" s="104"/>
      <c r="AD39" t="e">
        <f>CONCATENATE(#REF!,B40)</f>
        <v>#REF!</v>
      </c>
      <c r="AE39" t="str">
        <f>IF(L40="","",L40/M40)</f>
        <v/>
      </c>
    </row>
    <row r="40" spans="1:31" x14ac:dyDescent="0.35">
      <c r="A40" s="89">
        <v>30</v>
      </c>
      <c r="B40" s="82" t="s">
        <v>52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82" t="s">
        <v>83</v>
      </c>
      <c r="Q40" s="89"/>
      <c r="R40" s="89"/>
      <c r="S40" s="89"/>
      <c r="T40" s="104"/>
    </row>
    <row r="42" spans="1:31" x14ac:dyDescent="0.35">
      <c r="C42" s="263" t="s">
        <v>111</v>
      </c>
      <c r="D42" s="263"/>
    </row>
    <row r="43" spans="1:31" x14ac:dyDescent="0.35">
      <c r="C43" s="263" t="s">
        <v>112</v>
      </c>
      <c r="D43" s="263"/>
      <c r="P43" s="263" t="s">
        <v>110</v>
      </c>
      <c r="Q43" s="263"/>
      <c r="R43" s="263"/>
    </row>
    <row r="44" spans="1:31" x14ac:dyDescent="0.35">
      <c r="C44" s="68"/>
      <c r="D44" s="68"/>
      <c r="P44" s="68"/>
      <c r="Q44" s="68"/>
      <c r="R44" s="68"/>
    </row>
    <row r="45" spans="1:31" x14ac:dyDescent="0.35">
      <c r="C45" s="68"/>
      <c r="D45" s="68"/>
      <c r="P45" s="68"/>
      <c r="Q45" s="68"/>
      <c r="R45" s="68"/>
    </row>
    <row r="46" spans="1:31" x14ac:dyDescent="0.35">
      <c r="C46" s="292" t="s">
        <v>121</v>
      </c>
      <c r="D46" s="292"/>
      <c r="P46" s="292" t="s">
        <v>123</v>
      </c>
      <c r="Q46" s="292"/>
      <c r="R46" s="292"/>
    </row>
    <row r="47" spans="1:31" x14ac:dyDescent="0.35">
      <c r="C47" s="263" t="s">
        <v>122</v>
      </c>
      <c r="D47" s="263"/>
      <c r="P47" s="262"/>
      <c r="Q47" s="262"/>
      <c r="R47" s="262"/>
    </row>
  </sheetData>
  <mergeCells count="18">
    <mergeCell ref="C42:D42"/>
    <mergeCell ref="C43:D43"/>
    <mergeCell ref="C46:D46"/>
    <mergeCell ref="C47:D47"/>
    <mergeCell ref="P43:R43"/>
    <mergeCell ref="P46:R46"/>
    <mergeCell ref="P47:R47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5" right="0.25" top="0.39370078740157499" bottom="0.196850393700787" header="0.31496062992126" footer="0.31496062992126"/>
  <pageSetup paperSize="5" scale="7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AC47"/>
  <sheetViews>
    <sheetView topLeftCell="C8" zoomScale="80" zoomScaleNormal="80" workbookViewId="0">
      <selection activeCell="O24" sqref="O24"/>
    </sheetView>
  </sheetViews>
  <sheetFormatPr defaultRowHeight="14.5" x14ac:dyDescent="0.35"/>
  <cols>
    <col min="1" max="1" width="4.26953125" customWidth="1"/>
    <col min="2" max="2" width="22.453125" customWidth="1"/>
    <col min="3" max="3" width="12.7265625" customWidth="1"/>
    <col min="4" max="4" width="8.7265625" customWidth="1"/>
    <col min="5" max="5" width="10.54296875" customWidth="1"/>
    <col min="6" max="6" width="10" customWidth="1"/>
    <col min="7" max="7" width="12" customWidth="1"/>
    <col min="8" max="10" width="9.453125" bestFit="1" customWidth="1"/>
    <col min="11" max="11" width="12.26953125" customWidth="1"/>
    <col min="12" max="12" width="15.26953125" customWidth="1"/>
    <col min="13" max="13" width="11.54296875" customWidth="1"/>
    <col min="14" max="14" width="14.453125" customWidth="1"/>
    <col min="15" max="15" width="14.7265625" customWidth="1"/>
    <col min="16" max="16" width="18.26953125" customWidth="1"/>
    <col min="17" max="17" width="11" customWidth="1"/>
    <col min="18" max="18" width="9" customWidth="1"/>
    <col min="19" max="19" width="6" customWidth="1"/>
    <col min="22" max="22" width="11" bestFit="1" customWidth="1"/>
    <col min="25" max="25" width="10.1796875" bestFit="1" customWidth="1"/>
    <col min="28" max="29" width="9.1796875" hidden="1" customWidth="1"/>
  </cols>
  <sheetData>
    <row r="1" spans="1:29" x14ac:dyDescent="0.35">
      <c r="A1" s="1" t="s">
        <v>57</v>
      </c>
    </row>
    <row r="2" spans="1:29" x14ac:dyDescent="0.35">
      <c r="A2" s="2"/>
    </row>
    <row r="3" spans="1:29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29" x14ac:dyDescent="0.35">
      <c r="A4" s="1"/>
      <c r="R4" s="5"/>
      <c r="S4" s="6"/>
    </row>
    <row r="5" spans="1:29" x14ac:dyDescent="0.35">
      <c r="A5" s="153" t="s">
        <v>175</v>
      </c>
      <c r="B5" s="151"/>
      <c r="C5" s="151" t="s">
        <v>88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285" t="s">
        <v>181</v>
      </c>
      <c r="Q5" s="285"/>
      <c r="R5" s="153" t="s">
        <v>182</v>
      </c>
      <c r="S5" s="151"/>
      <c r="T5" s="151"/>
    </row>
    <row r="6" spans="1:29" x14ac:dyDescent="0.35">
      <c r="A6" s="153" t="s">
        <v>176</v>
      </c>
      <c r="B6" s="151"/>
      <c r="C6" s="151" t="s">
        <v>86</v>
      </c>
      <c r="D6" s="151"/>
      <c r="E6" s="172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285" t="s">
        <v>180</v>
      </c>
      <c r="Q6" s="285"/>
      <c r="R6" s="153" t="s">
        <v>203</v>
      </c>
      <c r="S6" s="151"/>
      <c r="T6" s="151"/>
    </row>
    <row r="7" spans="1:29" x14ac:dyDescent="0.35">
      <c r="A7" s="153" t="s">
        <v>177</v>
      </c>
      <c r="B7" s="151"/>
      <c r="C7" s="151" t="s">
        <v>53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</row>
    <row r="8" spans="1:29" s="11" customFormat="1" x14ac:dyDescent="0.35">
      <c r="A8" s="283" t="s">
        <v>3</v>
      </c>
      <c r="B8" s="283" t="s">
        <v>4</v>
      </c>
      <c r="C8" s="283" t="s">
        <v>23</v>
      </c>
      <c r="D8" s="283" t="s">
        <v>6</v>
      </c>
      <c r="E8" s="283"/>
      <c r="F8" s="283"/>
      <c r="G8" s="283"/>
      <c r="H8" s="283"/>
      <c r="I8" s="283"/>
      <c r="J8" s="283"/>
      <c r="K8" s="283"/>
      <c r="L8" s="283" t="s">
        <v>22</v>
      </c>
      <c r="M8" s="283"/>
      <c r="N8" s="283"/>
      <c r="O8" s="283"/>
      <c r="P8" s="155"/>
      <c r="Q8" s="156"/>
      <c r="R8" s="157"/>
      <c r="S8" s="155"/>
      <c r="T8" s="191"/>
      <c r="AB8" s="11" t="s">
        <v>54</v>
      </c>
      <c r="AC8" s="11" t="s">
        <v>54</v>
      </c>
    </row>
    <row r="9" spans="1:29" s="11" customFormat="1" ht="29" x14ac:dyDescent="0.35">
      <c r="A9" s="283"/>
      <c r="B9" s="283"/>
      <c r="C9" s="283"/>
      <c r="D9" s="284" t="s">
        <v>7</v>
      </c>
      <c r="E9" s="284"/>
      <c r="F9" s="284"/>
      <c r="G9" s="284"/>
      <c r="H9" s="284" t="s">
        <v>12</v>
      </c>
      <c r="I9" s="284"/>
      <c r="J9" s="284"/>
      <c r="K9" s="284"/>
      <c r="L9" s="284" t="s">
        <v>13</v>
      </c>
      <c r="M9" s="284"/>
      <c r="N9" s="284" t="s">
        <v>15</v>
      </c>
      <c r="O9" s="284"/>
      <c r="P9" s="158"/>
      <c r="Q9" s="281" t="s">
        <v>17</v>
      </c>
      <c r="R9" s="282"/>
      <c r="S9" s="158" t="s">
        <v>167</v>
      </c>
      <c r="T9" s="191"/>
      <c r="V9" s="11" t="s">
        <v>15</v>
      </c>
      <c r="AB9" s="11" t="s">
        <v>56</v>
      </c>
      <c r="AC9" s="11" t="s">
        <v>56</v>
      </c>
    </row>
    <row r="10" spans="1:29" s="11" customFormat="1" ht="43.5" x14ac:dyDescent="0.35">
      <c r="A10" s="283"/>
      <c r="B10" s="283"/>
      <c r="C10" s="283"/>
      <c r="D10" s="159" t="s">
        <v>8</v>
      </c>
      <c r="E10" s="159" t="s">
        <v>9</v>
      </c>
      <c r="F10" s="159" t="s">
        <v>10</v>
      </c>
      <c r="G10" s="159" t="s">
        <v>11</v>
      </c>
      <c r="H10" s="159" t="s">
        <v>0</v>
      </c>
      <c r="I10" s="159" t="s">
        <v>1</v>
      </c>
      <c r="J10" s="159" t="s">
        <v>2</v>
      </c>
      <c r="K10" s="159" t="s">
        <v>11</v>
      </c>
      <c r="L10" s="159" t="s">
        <v>14</v>
      </c>
      <c r="M10" s="159" t="s">
        <v>21</v>
      </c>
      <c r="N10" s="159" t="s">
        <v>14</v>
      </c>
      <c r="O10" s="159" t="s">
        <v>21</v>
      </c>
      <c r="P10" s="161" t="s">
        <v>16</v>
      </c>
      <c r="Q10" s="159" t="s">
        <v>19</v>
      </c>
      <c r="R10" s="159" t="s">
        <v>20</v>
      </c>
      <c r="S10" s="161"/>
      <c r="T10" s="191"/>
      <c r="V10" s="11" t="s">
        <v>14</v>
      </c>
      <c r="W10" s="11" t="s">
        <v>21</v>
      </c>
      <c r="AB10" s="11" t="s">
        <v>55</v>
      </c>
      <c r="AC10" s="11" t="s">
        <v>55</v>
      </c>
    </row>
    <row r="11" spans="1:29" x14ac:dyDescent="0.35">
      <c r="A11" s="179">
        <v>1</v>
      </c>
      <c r="B11" s="176" t="s">
        <v>5</v>
      </c>
      <c r="C11" s="192">
        <v>4.03</v>
      </c>
      <c r="D11" s="192">
        <v>0</v>
      </c>
      <c r="E11" s="192">
        <v>1.2</v>
      </c>
      <c r="F11" s="192">
        <v>0</v>
      </c>
      <c r="G11" s="193">
        <f>C11+E11-F11</f>
        <v>5.23</v>
      </c>
      <c r="H11" s="193">
        <v>0.72</v>
      </c>
      <c r="I11" s="193">
        <v>3.21</v>
      </c>
      <c r="J11" s="193">
        <v>1.3</v>
      </c>
      <c r="K11" s="193">
        <f>SUM(H11:J11)</f>
        <v>5.2299999999999995</v>
      </c>
      <c r="L11" s="193">
        <v>3833.45</v>
      </c>
      <c r="M11" s="193">
        <v>1783</v>
      </c>
      <c r="N11" s="194">
        <f>O11*I11</f>
        <v>2969.25</v>
      </c>
      <c r="O11" s="195">
        <v>925</v>
      </c>
      <c r="P11" s="176" t="s">
        <v>67</v>
      </c>
      <c r="Q11" s="196">
        <v>82</v>
      </c>
      <c r="R11" s="178"/>
      <c r="S11" s="178"/>
      <c r="T11" s="151"/>
      <c r="V11">
        <v>1623.1043999999999</v>
      </c>
      <c r="W11">
        <v>505.64</v>
      </c>
      <c r="Y11" s="28">
        <f>3955.96/I11</f>
        <v>1232.386292834891</v>
      </c>
      <c r="AB11" t="e">
        <f>CONCATENATE(#REF!,B11)</f>
        <v>#REF!</v>
      </c>
      <c r="AC11">
        <f>IF(L11="","",L11/M11)</f>
        <v>2.15</v>
      </c>
    </row>
    <row r="12" spans="1:29" x14ac:dyDescent="0.35">
      <c r="A12" s="179">
        <v>2</v>
      </c>
      <c r="B12" s="176" t="s">
        <v>25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4"/>
      <c r="O12" s="197"/>
      <c r="P12" s="176" t="s">
        <v>68</v>
      </c>
      <c r="Q12" s="198"/>
      <c r="R12" s="179"/>
      <c r="S12" s="179"/>
      <c r="T12" s="151"/>
      <c r="AB12" t="e">
        <f>CONCATENATE(#REF!,B12)</f>
        <v>#REF!</v>
      </c>
      <c r="AC12" t="str">
        <f t="shared" ref="AC12:AC20" si="0">IF(L12="","",L12/M12)</f>
        <v/>
      </c>
    </row>
    <row r="13" spans="1:29" x14ac:dyDescent="0.35">
      <c r="A13" s="179">
        <v>3</v>
      </c>
      <c r="B13" s="176" t="s">
        <v>26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4"/>
      <c r="O13" s="197"/>
      <c r="P13" s="176" t="s">
        <v>68</v>
      </c>
      <c r="Q13" s="198"/>
      <c r="R13" s="179"/>
      <c r="S13" s="179"/>
      <c r="T13" s="151"/>
      <c r="AB13" t="e">
        <f>CONCATENATE(#REF!,B13)</f>
        <v>#REF!</v>
      </c>
      <c r="AC13" t="str">
        <f t="shared" si="0"/>
        <v/>
      </c>
    </row>
    <row r="14" spans="1:29" x14ac:dyDescent="0.35">
      <c r="A14" s="179">
        <v>4</v>
      </c>
      <c r="B14" s="176" t="s">
        <v>27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4"/>
      <c r="O14" s="197"/>
      <c r="P14" s="176" t="s">
        <v>69</v>
      </c>
      <c r="Q14" s="198"/>
      <c r="R14" s="179"/>
      <c r="S14" s="179"/>
      <c r="T14" s="151"/>
      <c r="AB14" t="e">
        <f>CONCATENATE(#REF!,B14)</f>
        <v>#REF!</v>
      </c>
      <c r="AC14" t="str">
        <f t="shared" si="0"/>
        <v/>
      </c>
    </row>
    <row r="15" spans="1:29" x14ac:dyDescent="0.35">
      <c r="A15" s="179">
        <v>5</v>
      </c>
      <c r="B15" s="176" t="s">
        <v>28</v>
      </c>
      <c r="C15" s="193">
        <f>[1]krpucung!$K$15</f>
        <v>163.76</v>
      </c>
      <c r="D15" s="193">
        <v>0</v>
      </c>
      <c r="E15" s="193">
        <v>37.5</v>
      </c>
      <c r="F15" s="193">
        <v>0</v>
      </c>
      <c r="G15" s="193">
        <f>C15+E15-F15</f>
        <v>201.26</v>
      </c>
      <c r="H15" s="193">
        <f>105+37.5</f>
        <v>142.5</v>
      </c>
      <c r="I15" s="193">
        <v>55.6</v>
      </c>
      <c r="J15" s="193">
        <v>3.16</v>
      </c>
      <c r="K15" s="193">
        <f>SUM(H15:J15)</f>
        <v>201.26</v>
      </c>
      <c r="L15" s="193">
        <v>36336</v>
      </c>
      <c r="M15" s="193">
        <v>113.96</v>
      </c>
      <c r="N15" s="194">
        <f>O15*I15</f>
        <v>17514</v>
      </c>
      <c r="O15" s="197">
        <v>315</v>
      </c>
      <c r="P15" s="176" t="s">
        <v>70</v>
      </c>
      <c r="Q15" s="196">
        <f>278+80</f>
        <v>358</v>
      </c>
      <c r="R15" s="178"/>
      <c r="S15" s="178"/>
      <c r="T15" s="151"/>
      <c r="V15" s="28">
        <v>0</v>
      </c>
      <c r="W15">
        <v>0</v>
      </c>
      <c r="AB15" t="e">
        <f>CONCATENATE(#REF!,B15)</f>
        <v>#REF!</v>
      </c>
      <c r="AC15">
        <f t="shared" si="0"/>
        <v>318.84871884871887</v>
      </c>
    </row>
    <row r="16" spans="1:29" x14ac:dyDescent="0.35">
      <c r="A16" s="179">
        <v>6</v>
      </c>
      <c r="B16" s="176" t="s">
        <v>29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4"/>
      <c r="O16" s="197"/>
      <c r="P16" s="176" t="s">
        <v>70</v>
      </c>
      <c r="Q16" s="198"/>
      <c r="R16" s="179"/>
      <c r="S16" s="179"/>
      <c r="T16" s="151"/>
      <c r="AB16" t="e">
        <f>CONCATENATE(#REF!,B16)</f>
        <v>#REF!</v>
      </c>
      <c r="AC16" t="str">
        <f t="shared" si="0"/>
        <v/>
      </c>
    </row>
    <row r="17" spans="1:29" x14ac:dyDescent="0.35">
      <c r="A17" s="179">
        <v>7</v>
      </c>
      <c r="B17" s="176" t="s">
        <v>30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  <c r="O17" s="197"/>
      <c r="P17" s="176" t="s">
        <v>71</v>
      </c>
      <c r="Q17" s="198"/>
      <c r="R17" s="179"/>
      <c r="S17" s="179"/>
      <c r="T17" s="151"/>
      <c r="AB17" t="e">
        <f>CONCATENATE(#REF!,B17)</f>
        <v>#REF!</v>
      </c>
      <c r="AC17" t="str">
        <f t="shared" si="0"/>
        <v/>
      </c>
    </row>
    <row r="18" spans="1:29" x14ac:dyDescent="0.35">
      <c r="A18" s="179">
        <v>8</v>
      </c>
      <c r="B18" s="176" t="s">
        <v>31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4"/>
      <c r="O18" s="197"/>
      <c r="P18" s="176" t="s">
        <v>72</v>
      </c>
      <c r="Q18" s="198"/>
      <c r="R18" s="179"/>
      <c r="S18" s="179"/>
      <c r="T18" s="151"/>
      <c r="AB18" t="e">
        <f>CONCATENATE(#REF!,B18)</f>
        <v>#REF!</v>
      </c>
      <c r="AC18" t="str">
        <f t="shared" si="0"/>
        <v/>
      </c>
    </row>
    <row r="19" spans="1:29" x14ac:dyDescent="0.35">
      <c r="A19" s="179">
        <v>9</v>
      </c>
      <c r="B19" s="176" t="s">
        <v>32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O19" s="197"/>
      <c r="P19" s="176" t="s">
        <v>72</v>
      </c>
      <c r="Q19" s="198"/>
      <c r="R19" s="179"/>
      <c r="S19" s="179"/>
      <c r="T19" s="151"/>
      <c r="AB19" t="e">
        <f>CONCATENATE(#REF!,B19)</f>
        <v>#REF!</v>
      </c>
      <c r="AC19" t="str">
        <f t="shared" si="0"/>
        <v/>
      </c>
    </row>
    <row r="20" spans="1:29" x14ac:dyDescent="0.35">
      <c r="A20" s="179">
        <v>10</v>
      </c>
      <c r="B20" s="176" t="s">
        <v>33</v>
      </c>
      <c r="C20" s="193">
        <v>78.34</v>
      </c>
      <c r="D20" s="193">
        <v>0</v>
      </c>
      <c r="E20" s="193">
        <v>6.31</v>
      </c>
      <c r="F20" s="193">
        <v>0</v>
      </c>
      <c r="G20" s="193">
        <f>C20+E20-F20</f>
        <v>84.65</v>
      </c>
      <c r="H20" s="193">
        <f>40.51-4</f>
        <v>36.51</v>
      </c>
      <c r="I20" s="193">
        <f>42.24+4</f>
        <v>46.24</v>
      </c>
      <c r="J20" s="193">
        <f>1.2+0.7</f>
        <v>1.9</v>
      </c>
      <c r="K20" s="193">
        <f>SUM(H20:J20)</f>
        <v>84.65</v>
      </c>
      <c r="L20" s="193">
        <v>30582</v>
      </c>
      <c r="M20" s="193">
        <v>724.01</v>
      </c>
      <c r="N20" s="194">
        <f>O20*I20</f>
        <v>40933.96</v>
      </c>
      <c r="O20" s="199">
        <v>885.25</v>
      </c>
      <c r="P20" s="176" t="s">
        <v>72</v>
      </c>
      <c r="Q20" s="198">
        <f>605-544+17</f>
        <v>78</v>
      </c>
      <c r="R20" s="178"/>
      <c r="S20" s="178"/>
      <c r="T20" s="151"/>
      <c r="V20">
        <v>8680.32</v>
      </c>
      <c r="W20">
        <v>205.5</v>
      </c>
      <c r="AB20" t="e">
        <f>CONCATENATE(#REF!,B20)</f>
        <v>#REF!</v>
      </c>
      <c r="AC20">
        <f t="shared" si="0"/>
        <v>42.239748069778045</v>
      </c>
    </row>
    <row r="21" spans="1:29" x14ac:dyDescent="0.35">
      <c r="A21" s="179">
        <v>11</v>
      </c>
      <c r="B21" s="200" t="s">
        <v>96</v>
      </c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2"/>
      <c r="O21" s="202"/>
      <c r="P21" s="176"/>
      <c r="Q21" s="176"/>
      <c r="R21" s="176"/>
      <c r="S21" s="176"/>
      <c r="T21" s="151"/>
      <c r="AB21" t="e">
        <f>CONCATENATE(#REF!,B22)</f>
        <v>#REF!</v>
      </c>
      <c r="AC21">
        <f t="shared" ref="AC21:AC37" si="1">IF(L22="","",L22/M22)</f>
        <v>99.650406504065046</v>
      </c>
    </row>
    <row r="22" spans="1:29" x14ac:dyDescent="0.35">
      <c r="A22" s="179">
        <v>12</v>
      </c>
      <c r="B22" s="176" t="s">
        <v>34</v>
      </c>
      <c r="C22" s="193">
        <v>274.64999999999998</v>
      </c>
      <c r="D22" s="193">
        <v>0</v>
      </c>
      <c r="E22" s="193">
        <v>50</v>
      </c>
      <c r="F22" s="193">
        <v>0</v>
      </c>
      <c r="G22" s="193">
        <f t="shared" ref="G22:G24" si="2">C22+E22-F22</f>
        <v>324.64999999999998</v>
      </c>
      <c r="H22" s="193">
        <f>225-20</f>
        <v>205</v>
      </c>
      <c r="I22" s="193">
        <f>99.65+20</f>
        <v>119.65</v>
      </c>
      <c r="J22" s="192">
        <v>0</v>
      </c>
      <c r="K22" s="193">
        <f t="shared" ref="K22:K24" si="3">SUM(H22:J22)</f>
        <v>324.64999999999998</v>
      </c>
      <c r="L22" s="193">
        <v>49028</v>
      </c>
      <c r="M22" s="193">
        <v>492</v>
      </c>
      <c r="N22" s="194">
        <f>O22*I22</f>
        <v>92609.1</v>
      </c>
      <c r="O22" s="197">
        <v>774</v>
      </c>
      <c r="P22" s="176" t="s">
        <v>73</v>
      </c>
      <c r="Q22" s="196">
        <f>3393-3000</f>
        <v>393</v>
      </c>
      <c r="R22" s="178"/>
      <c r="S22" s="178"/>
      <c r="T22" s="151"/>
      <c r="V22">
        <v>37432.525999999998</v>
      </c>
      <c r="W22">
        <v>375.64</v>
      </c>
      <c r="AB22" t="e">
        <f>CONCATENATE(#REF!,B23)</f>
        <v>#REF!</v>
      </c>
      <c r="AC22">
        <f t="shared" si="1"/>
        <v>846</v>
      </c>
    </row>
    <row r="23" spans="1:29" x14ac:dyDescent="0.35">
      <c r="A23" s="179">
        <v>13</v>
      </c>
      <c r="B23" s="176" t="s">
        <v>35</v>
      </c>
      <c r="C23" s="192">
        <v>1396.6</v>
      </c>
      <c r="D23" s="193">
        <v>0</v>
      </c>
      <c r="E23" s="193">
        <v>0</v>
      </c>
      <c r="F23" s="193">
        <v>0</v>
      </c>
      <c r="G23" s="193">
        <f t="shared" si="2"/>
        <v>1396.6</v>
      </c>
      <c r="H23" s="193">
        <f>336.5-30</f>
        <v>306.5</v>
      </c>
      <c r="I23" s="193">
        <f>846+30</f>
        <v>876</v>
      </c>
      <c r="J23" s="193">
        <v>214.1</v>
      </c>
      <c r="K23" s="193">
        <f t="shared" si="3"/>
        <v>1396.6</v>
      </c>
      <c r="L23" s="193">
        <v>555822</v>
      </c>
      <c r="M23" s="193">
        <v>657</v>
      </c>
      <c r="N23" s="194">
        <f>O23*I23</f>
        <v>865488</v>
      </c>
      <c r="O23" s="197">
        <v>988</v>
      </c>
      <c r="P23" s="176" t="s">
        <v>74</v>
      </c>
      <c r="Q23" s="196">
        <f>12519-9000</f>
        <v>3519</v>
      </c>
      <c r="R23" s="178"/>
      <c r="S23" s="178"/>
      <c r="T23" s="151"/>
      <c r="V23">
        <v>246524.4</v>
      </c>
      <c r="W23">
        <v>291.39999999999998</v>
      </c>
      <c r="AB23" t="e">
        <f>CONCATENATE(#REF!,B24)</f>
        <v>#REF!</v>
      </c>
      <c r="AC23">
        <f t="shared" si="1"/>
        <v>120.30000011200679</v>
      </c>
    </row>
    <row r="24" spans="1:29" x14ac:dyDescent="0.35">
      <c r="A24" s="179">
        <v>14</v>
      </c>
      <c r="B24" s="176" t="s">
        <v>36</v>
      </c>
      <c r="C24" s="193">
        <f>132-5</f>
        <v>127</v>
      </c>
      <c r="D24" s="193">
        <v>0</v>
      </c>
      <c r="E24" s="193">
        <v>0</v>
      </c>
      <c r="F24" s="193">
        <v>0</v>
      </c>
      <c r="G24" s="193">
        <f t="shared" si="2"/>
        <v>127</v>
      </c>
      <c r="H24" s="192">
        <v>0</v>
      </c>
      <c r="I24" s="193">
        <f>120.3-5</f>
        <v>115.3</v>
      </c>
      <c r="J24" s="193">
        <v>11.7</v>
      </c>
      <c r="K24" s="193">
        <f t="shared" si="3"/>
        <v>127</v>
      </c>
      <c r="L24" s="193">
        <v>1074042.01</v>
      </c>
      <c r="M24" s="193">
        <v>8928.0300000000007</v>
      </c>
      <c r="N24" s="194">
        <f>O24*I24</f>
        <v>544458.13</v>
      </c>
      <c r="O24" s="197">
        <v>4722.1000000000004</v>
      </c>
      <c r="P24" s="176" t="s">
        <v>75</v>
      </c>
      <c r="Q24" s="196">
        <f>1524-895</f>
        <v>629</v>
      </c>
      <c r="R24" s="178"/>
      <c r="S24" s="178"/>
      <c r="T24" s="151"/>
      <c r="V24">
        <v>251238.69999999998</v>
      </c>
      <c r="W24">
        <v>2179</v>
      </c>
      <c r="AB24" t="e">
        <f>CONCATENATE(#REF!,B25)</f>
        <v>#REF!</v>
      </c>
      <c r="AC24" t="str">
        <f t="shared" si="1"/>
        <v/>
      </c>
    </row>
    <row r="25" spans="1:29" x14ac:dyDescent="0.35">
      <c r="A25" s="179">
        <v>15</v>
      </c>
      <c r="B25" s="176" t="s">
        <v>37</v>
      </c>
      <c r="C25" s="193"/>
      <c r="D25" s="193"/>
      <c r="E25" s="193"/>
      <c r="F25" s="193"/>
      <c r="G25" s="192"/>
      <c r="H25" s="193"/>
      <c r="I25" s="193"/>
      <c r="J25" s="193"/>
      <c r="K25" s="193"/>
      <c r="L25" s="193"/>
      <c r="M25" s="193"/>
      <c r="N25" s="194"/>
      <c r="O25" s="197"/>
      <c r="P25" s="176" t="s">
        <v>74</v>
      </c>
      <c r="Q25" s="198"/>
      <c r="R25" s="179"/>
      <c r="S25" s="179"/>
      <c r="T25" s="151"/>
      <c r="AB25" t="e">
        <f>CONCATENATE(#REF!,B26)</f>
        <v>#REF!</v>
      </c>
      <c r="AC25" t="str">
        <f t="shared" si="1"/>
        <v/>
      </c>
    </row>
    <row r="26" spans="1:29" x14ac:dyDescent="0.35">
      <c r="A26" s="179">
        <v>16</v>
      </c>
      <c r="B26" s="176" t="s">
        <v>38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4"/>
      <c r="O26" s="197"/>
      <c r="P26" s="176" t="s">
        <v>76</v>
      </c>
      <c r="Q26" s="198"/>
      <c r="R26" s="179"/>
      <c r="S26" s="179"/>
      <c r="T26" s="151"/>
      <c r="AB26" t="e">
        <f>CONCATENATE(#REF!,B27)</f>
        <v>#REF!</v>
      </c>
      <c r="AC26" t="str">
        <f t="shared" si="1"/>
        <v/>
      </c>
    </row>
    <row r="27" spans="1:29" x14ac:dyDescent="0.35">
      <c r="A27" s="179">
        <v>17</v>
      </c>
      <c r="B27" s="176" t="s">
        <v>39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4"/>
      <c r="O27" s="197"/>
      <c r="P27" s="176" t="s">
        <v>77</v>
      </c>
      <c r="Q27" s="198"/>
      <c r="R27" s="179"/>
      <c r="S27" s="179"/>
      <c r="T27" s="151"/>
      <c r="AB27" t="e">
        <f>CONCATENATE(#REF!,B28)</f>
        <v>#REF!</v>
      </c>
      <c r="AC27" t="str">
        <f t="shared" si="1"/>
        <v/>
      </c>
    </row>
    <row r="28" spans="1:29" x14ac:dyDescent="0.35">
      <c r="A28" s="179">
        <v>18</v>
      </c>
      <c r="B28" s="176" t="s">
        <v>40</v>
      </c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4"/>
      <c r="O28" s="197"/>
      <c r="P28" s="176" t="s">
        <v>78</v>
      </c>
      <c r="Q28" s="198"/>
      <c r="R28" s="179"/>
      <c r="S28" s="179"/>
      <c r="T28" s="151"/>
      <c r="AB28" t="e">
        <f>CONCATENATE(#REF!,B29)</f>
        <v>#REF!</v>
      </c>
      <c r="AC28" t="str">
        <f t="shared" si="1"/>
        <v/>
      </c>
    </row>
    <row r="29" spans="1:29" x14ac:dyDescent="0.35">
      <c r="A29" s="179">
        <v>19</v>
      </c>
      <c r="B29" s="176" t="s">
        <v>41</v>
      </c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4"/>
      <c r="O29" s="197"/>
      <c r="P29" s="176" t="s">
        <v>79</v>
      </c>
      <c r="Q29" s="198"/>
      <c r="R29" s="179"/>
      <c r="S29" s="179"/>
      <c r="T29" s="151"/>
      <c r="AB29" t="e">
        <f>CONCATENATE(#REF!,B30)</f>
        <v>#REF!</v>
      </c>
      <c r="AC29" t="str">
        <f t="shared" si="1"/>
        <v/>
      </c>
    </row>
    <row r="30" spans="1:29" x14ac:dyDescent="0.35">
      <c r="A30" s="179">
        <v>20</v>
      </c>
      <c r="B30" s="176" t="s">
        <v>42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4"/>
      <c r="O30" s="197"/>
      <c r="P30" s="176" t="s">
        <v>80</v>
      </c>
      <c r="Q30" s="198"/>
      <c r="R30" s="179"/>
      <c r="S30" s="179"/>
      <c r="T30" s="151"/>
      <c r="AB30" t="e">
        <f>CONCATENATE(#REF!,B31)</f>
        <v>#REF!</v>
      </c>
      <c r="AC30" t="str">
        <f t="shared" si="1"/>
        <v/>
      </c>
    </row>
    <row r="31" spans="1:29" x14ac:dyDescent="0.35">
      <c r="A31" s="179">
        <v>21</v>
      </c>
      <c r="B31" s="176" t="s">
        <v>43</v>
      </c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4"/>
      <c r="O31" s="197"/>
      <c r="P31" s="176" t="s">
        <v>69</v>
      </c>
      <c r="Q31" s="198"/>
      <c r="R31" s="179"/>
      <c r="S31" s="179"/>
      <c r="T31" s="151"/>
      <c r="AB31" t="e">
        <f>CONCATENATE(#REF!,B32)</f>
        <v>#REF!</v>
      </c>
      <c r="AC31" t="str">
        <f t="shared" si="1"/>
        <v/>
      </c>
    </row>
    <row r="32" spans="1:29" x14ac:dyDescent="0.35">
      <c r="A32" s="179">
        <v>22</v>
      </c>
      <c r="B32" s="176" t="s">
        <v>44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4"/>
      <c r="O32" s="197"/>
      <c r="P32" s="176" t="s">
        <v>81</v>
      </c>
      <c r="Q32" s="198"/>
      <c r="R32" s="179"/>
      <c r="S32" s="179"/>
      <c r="T32" s="151"/>
      <c r="AB32" t="e">
        <f>CONCATENATE(#REF!,B33)</f>
        <v>#REF!</v>
      </c>
      <c r="AC32">
        <f t="shared" si="1"/>
        <v>5.83</v>
      </c>
    </row>
    <row r="33" spans="1:29" x14ac:dyDescent="0.35">
      <c r="A33" s="179">
        <v>23</v>
      </c>
      <c r="B33" s="176" t="s">
        <v>45</v>
      </c>
      <c r="C33" s="193">
        <f>12.33-2.1</f>
        <v>10.23</v>
      </c>
      <c r="D33" s="193">
        <v>0</v>
      </c>
      <c r="E33" s="193">
        <v>0</v>
      </c>
      <c r="F33" s="193">
        <v>0</v>
      </c>
      <c r="G33" s="193">
        <f t="shared" ref="G33:G34" si="4">C33+E33-F33</f>
        <v>10.23</v>
      </c>
      <c r="H33" s="193">
        <f>2.7</f>
        <v>2.7</v>
      </c>
      <c r="I33" s="193">
        <f>7.93-2.1</f>
        <v>5.83</v>
      </c>
      <c r="J33" s="193">
        <v>1.7</v>
      </c>
      <c r="K33" s="193">
        <f t="shared" ref="K33:K36" si="5">SUM(H33:J33)</f>
        <v>10.23</v>
      </c>
      <c r="L33" s="193">
        <v>2562.44</v>
      </c>
      <c r="M33" s="203">
        <f>L33/I33</f>
        <v>439.52658662092625</v>
      </c>
      <c r="N33" s="194">
        <f>O33*I33</f>
        <v>2827.55</v>
      </c>
      <c r="O33" s="197">
        <v>485</v>
      </c>
      <c r="P33" s="176" t="s">
        <v>81</v>
      </c>
      <c r="Q33" s="198">
        <v>133</v>
      </c>
      <c r="R33" s="178"/>
      <c r="S33" s="178"/>
      <c r="T33" s="151"/>
      <c r="V33">
        <v>0</v>
      </c>
      <c r="W33">
        <v>0</v>
      </c>
      <c r="AB33" t="e">
        <f>CONCATENATE(#REF!,B34)</f>
        <v>#REF!</v>
      </c>
      <c r="AC33">
        <f t="shared" si="1"/>
        <v>20.50008986340762</v>
      </c>
    </row>
    <row r="34" spans="1:29" x14ac:dyDescent="0.35">
      <c r="A34" s="179">
        <v>24</v>
      </c>
      <c r="B34" s="176" t="s">
        <v>46</v>
      </c>
      <c r="C34" s="193">
        <v>30.5</v>
      </c>
      <c r="D34" s="193">
        <v>0</v>
      </c>
      <c r="E34" s="193">
        <v>0</v>
      </c>
      <c r="F34" s="193">
        <v>0</v>
      </c>
      <c r="G34" s="193">
        <f t="shared" si="4"/>
        <v>30.5</v>
      </c>
      <c r="H34" s="193">
        <v>6.4</v>
      </c>
      <c r="I34" s="193">
        <v>20.5</v>
      </c>
      <c r="J34" s="193">
        <f>1.9+1.7</f>
        <v>3.5999999999999996</v>
      </c>
      <c r="K34" s="193">
        <f t="shared" si="5"/>
        <v>30.5</v>
      </c>
      <c r="L34" s="193">
        <v>4562.5</v>
      </c>
      <c r="M34" s="193">
        <v>222.56</v>
      </c>
      <c r="N34" s="194">
        <f>O34*I34</f>
        <v>15495.949999999999</v>
      </c>
      <c r="O34" s="197">
        <v>755.9</v>
      </c>
      <c r="P34" s="176" t="s">
        <v>72</v>
      </c>
      <c r="Q34" s="198">
        <f>374-301</f>
        <v>73</v>
      </c>
      <c r="R34" s="178"/>
      <c r="S34" s="178"/>
      <c r="T34" s="151"/>
      <c r="V34">
        <v>0</v>
      </c>
      <c r="W34">
        <v>0</v>
      </c>
      <c r="AB34" t="e">
        <f>CONCATENATE(#REF!,B35)</f>
        <v>#REF!</v>
      </c>
      <c r="AC34" t="str">
        <f t="shared" si="1"/>
        <v/>
      </c>
    </row>
    <row r="35" spans="1:29" x14ac:dyDescent="0.35">
      <c r="A35" s="179">
        <v>25</v>
      </c>
      <c r="B35" s="176" t="s">
        <v>47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4"/>
      <c r="O35" s="197"/>
      <c r="P35" s="176" t="s">
        <v>75</v>
      </c>
      <c r="Q35" s="198"/>
      <c r="R35" s="179"/>
      <c r="S35" s="179"/>
      <c r="T35" s="151"/>
      <c r="AB35" t="e">
        <f>CONCATENATE(#REF!,B36)</f>
        <v>#REF!</v>
      </c>
      <c r="AC35">
        <f t="shared" si="1"/>
        <v>3.9</v>
      </c>
    </row>
    <row r="36" spans="1:29" x14ac:dyDescent="0.35">
      <c r="A36" s="179">
        <v>26</v>
      </c>
      <c r="B36" s="176" t="s">
        <v>48</v>
      </c>
      <c r="C36" s="193">
        <f>58.6-0.65</f>
        <v>57.95</v>
      </c>
      <c r="D36" s="193">
        <v>0</v>
      </c>
      <c r="E36" s="193">
        <v>30</v>
      </c>
      <c r="F36" s="193">
        <v>0</v>
      </c>
      <c r="G36" s="193">
        <f>C36+E36-F36</f>
        <v>87.95</v>
      </c>
      <c r="H36" s="193">
        <f>54.05+30</f>
        <v>84.05</v>
      </c>
      <c r="I36" s="193">
        <v>3.9</v>
      </c>
      <c r="J36" s="192">
        <v>0</v>
      </c>
      <c r="K36" s="193">
        <f t="shared" si="5"/>
        <v>87.95</v>
      </c>
      <c r="L36" s="193">
        <v>717.6</v>
      </c>
      <c r="M36" s="193">
        <v>184</v>
      </c>
      <c r="N36" s="194">
        <f>O36*I36</f>
        <v>748.8</v>
      </c>
      <c r="O36" s="197">
        <v>192</v>
      </c>
      <c r="P36" s="176" t="s">
        <v>72</v>
      </c>
      <c r="Q36" s="198">
        <v>381</v>
      </c>
      <c r="R36" s="178"/>
      <c r="S36" s="178"/>
      <c r="T36" s="151"/>
      <c r="V36">
        <v>0</v>
      </c>
      <c r="W36">
        <v>0</v>
      </c>
      <c r="AB36" t="e">
        <f>CONCATENATE(#REF!,B37)</f>
        <v>#REF!</v>
      </c>
      <c r="AC36" t="str">
        <f t="shared" si="1"/>
        <v/>
      </c>
    </row>
    <row r="37" spans="1:29" x14ac:dyDescent="0.35">
      <c r="A37" s="179">
        <v>27</v>
      </c>
      <c r="B37" s="176" t="s">
        <v>49</v>
      </c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4"/>
      <c r="O37" s="197"/>
      <c r="P37" s="176" t="s">
        <v>84</v>
      </c>
      <c r="Q37" s="198"/>
      <c r="R37" s="179"/>
      <c r="S37" s="179"/>
      <c r="T37" s="151"/>
      <c r="AB37" t="e">
        <f>CONCATENATE(#REF!,B38)</f>
        <v>#REF!</v>
      </c>
      <c r="AC37" t="str">
        <f t="shared" si="1"/>
        <v/>
      </c>
    </row>
    <row r="38" spans="1:29" x14ac:dyDescent="0.35">
      <c r="A38" s="179">
        <v>28</v>
      </c>
      <c r="B38" s="176" t="s">
        <v>50</v>
      </c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4"/>
      <c r="O38" s="197"/>
      <c r="P38" s="176" t="s">
        <v>77</v>
      </c>
      <c r="Q38" s="179"/>
      <c r="R38" s="179"/>
      <c r="S38" s="179"/>
      <c r="T38" s="151"/>
      <c r="AB38" t="e">
        <f>CONCATENATE(#REF!,#REF!)</f>
        <v>#REF!</v>
      </c>
    </row>
    <row r="39" spans="1:29" x14ac:dyDescent="0.35">
      <c r="A39" s="179">
        <v>29</v>
      </c>
      <c r="B39" s="176" t="s">
        <v>51</v>
      </c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4"/>
      <c r="O39" s="197"/>
      <c r="P39" s="176" t="s">
        <v>82</v>
      </c>
      <c r="Q39" s="179"/>
      <c r="R39" s="179"/>
      <c r="S39" s="179"/>
      <c r="T39" s="151"/>
      <c r="AB39" t="e">
        <f>CONCATENATE(#REF!,B40)</f>
        <v>#REF!</v>
      </c>
      <c r="AC39" t="str">
        <f>IF(L40="","",L40/M40)</f>
        <v/>
      </c>
    </row>
    <row r="40" spans="1:29" x14ac:dyDescent="0.35">
      <c r="A40" s="179">
        <v>30</v>
      </c>
      <c r="B40" s="176" t="s">
        <v>52</v>
      </c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4"/>
      <c r="O40" s="194"/>
      <c r="P40" s="176" t="s">
        <v>83</v>
      </c>
      <c r="Q40" s="179"/>
      <c r="R40" s="179"/>
      <c r="S40" s="179"/>
      <c r="T40" s="151"/>
    </row>
    <row r="41" spans="1:29" x14ac:dyDescent="0.35">
      <c r="A41" s="204"/>
      <c r="B41" s="151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6"/>
      <c r="O41" s="206"/>
      <c r="P41" s="151"/>
      <c r="Q41" s="204"/>
      <c r="R41" s="204"/>
      <c r="S41" s="204"/>
      <c r="T41" s="151"/>
    </row>
    <row r="42" spans="1:29" x14ac:dyDescent="0.35">
      <c r="A42" s="151"/>
      <c r="B42" s="286" t="s">
        <v>106</v>
      </c>
      <c r="C42" s="286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286" t="s">
        <v>133</v>
      </c>
      <c r="Q42" s="286"/>
      <c r="R42" s="286"/>
      <c r="S42" s="151"/>
      <c r="T42" s="151"/>
    </row>
    <row r="43" spans="1:29" x14ac:dyDescent="0.35">
      <c r="A43" s="151"/>
      <c r="B43" s="190"/>
      <c r="C43" s="190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261"/>
      <c r="Q43" s="261"/>
      <c r="R43" s="261"/>
      <c r="S43" s="151"/>
      <c r="T43" s="151"/>
    </row>
    <row r="44" spans="1:29" ht="20.25" customHeight="1" x14ac:dyDescent="0.35">
      <c r="A44" s="151"/>
      <c r="B44" s="190"/>
      <c r="C44" s="190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90"/>
      <c r="Q44" s="190"/>
      <c r="R44" s="190"/>
      <c r="S44" s="151"/>
      <c r="T44" s="151"/>
    </row>
    <row r="45" spans="1:29" x14ac:dyDescent="0.35">
      <c r="A45" s="151"/>
      <c r="B45" s="293" t="s">
        <v>139</v>
      </c>
      <c r="C45" s="293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293" t="s">
        <v>134</v>
      </c>
      <c r="Q45" s="293"/>
      <c r="R45" s="293"/>
      <c r="S45" s="151"/>
      <c r="T45" s="151"/>
    </row>
    <row r="46" spans="1:29" x14ac:dyDescent="0.35">
      <c r="A46" s="151"/>
      <c r="B46" s="286" t="s">
        <v>140</v>
      </c>
      <c r="C46" s="286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286" t="s">
        <v>141</v>
      </c>
      <c r="Q46" s="286"/>
      <c r="R46" s="286"/>
      <c r="S46" s="151"/>
      <c r="T46" s="151"/>
    </row>
    <row r="47" spans="1:29" x14ac:dyDescent="0.35">
      <c r="A47" s="151"/>
      <c r="B47" s="190"/>
      <c r="C47" s="190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90"/>
      <c r="Q47" s="190"/>
      <c r="R47" s="190"/>
      <c r="S47" s="151"/>
      <c r="T47" s="151"/>
    </row>
  </sheetData>
  <mergeCells count="19"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  <mergeCell ref="P5:Q5"/>
    <mergeCell ref="P6:Q6"/>
    <mergeCell ref="B46:C46"/>
    <mergeCell ref="P46:R46"/>
    <mergeCell ref="P42:R42"/>
    <mergeCell ref="P45:R45"/>
    <mergeCell ref="Q9:R9"/>
    <mergeCell ref="B42:C42"/>
    <mergeCell ref="B45:C45"/>
  </mergeCells>
  <pageMargins left="0.25" right="0" top="0.24803149599999999" bottom="0.24803149599999999" header="0.31496062992126" footer="0.31496062992126"/>
  <pageSetup paperSize="5" scale="7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D50"/>
  <sheetViews>
    <sheetView topLeftCell="A8" zoomScale="70" zoomScaleNormal="70" workbookViewId="0">
      <selection activeCell="O25" sqref="O25"/>
    </sheetView>
  </sheetViews>
  <sheetFormatPr defaultRowHeight="14.5" x14ac:dyDescent="0.35"/>
  <cols>
    <col min="1" max="1" width="5.81640625" customWidth="1"/>
    <col min="2" max="2" width="20.26953125" customWidth="1"/>
    <col min="3" max="3" width="12.26953125" customWidth="1"/>
    <col min="4" max="4" width="9.1796875" customWidth="1"/>
    <col min="5" max="5" width="10" customWidth="1"/>
    <col min="6" max="6" width="11.1796875" customWidth="1"/>
    <col min="7" max="7" width="10.453125" style="32" customWidth="1"/>
    <col min="8" max="8" width="8.54296875" style="32" customWidth="1"/>
    <col min="9" max="9" width="9" style="32" customWidth="1"/>
    <col min="10" max="10" width="10.26953125" style="32" customWidth="1"/>
    <col min="11" max="11" width="10.453125" style="32" bestFit="1" customWidth="1"/>
    <col min="12" max="12" width="15" customWidth="1"/>
    <col min="13" max="13" width="10.7265625" bestFit="1" customWidth="1"/>
    <col min="14" max="14" width="15" customWidth="1"/>
    <col min="15" max="15" width="11.7265625" customWidth="1"/>
    <col min="16" max="16" width="17.1796875" customWidth="1"/>
    <col min="17" max="17" width="9.54296875" customWidth="1"/>
    <col min="18" max="18" width="9.26953125" customWidth="1"/>
    <col min="19" max="19" width="6" customWidth="1"/>
    <col min="21" max="21" width="10" bestFit="1" customWidth="1"/>
    <col min="22" max="22" width="10" customWidth="1"/>
    <col min="29" max="30" width="9.1796875" hidden="1" customWidth="1"/>
  </cols>
  <sheetData>
    <row r="1" spans="1:30" x14ac:dyDescent="0.35">
      <c r="A1" s="1" t="s">
        <v>57</v>
      </c>
      <c r="G1" s="30"/>
      <c r="H1" s="30"/>
      <c r="I1" s="30"/>
      <c r="J1" s="30"/>
      <c r="K1" s="30"/>
    </row>
    <row r="2" spans="1:30" x14ac:dyDescent="0.35">
      <c r="A2" s="2"/>
      <c r="G2" s="30"/>
      <c r="H2" s="30"/>
      <c r="I2" s="30"/>
      <c r="J2" s="30"/>
      <c r="K2" s="30"/>
    </row>
    <row r="3" spans="1:30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30" x14ac:dyDescent="0.35">
      <c r="A4" s="1"/>
      <c r="G4" s="30"/>
      <c r="H4" s="30"/>
      <c r="I4" s="30"/>
      <c r="J4" s="30"/>
      <c r="K4" s="30"/>
      <c r="R4" s="5"/>
      <c r="S4" s="6"/>
    </row>
    <row r="5" spans="1:30" x14ac:dyDescent="0.35">
      <c r="A5" s="153" t="s">
        <v>175</v>
      </c>
      <c r="B5" s="151"/>
      <c r="C5" s="151" t="s">
        <v>185</v>
      </c>
      <c r="D5" s="151"/>
      <c r="E5" s="151"/>
      <c r="F5" s="151"/>
      <c r="G5" s="154"/>
      <c r="H5" s="154"/>
      <c r="I5" s="154"/>
      <c r="J5" s="154"/>
      <c r="K5" s="154"/>
      <c r="L5" s="151"/>
      <c r="M5" s="151"/>
      <c r="N5" s="151"/>
      <c r="O5" s="207"/>
      <c r="P5" s="151"/>
      <c r="Q5" s="151" t="s">
        <v>181</v>
      </c>
      <c r="R5" s="153" t="s">
        <v>182</v>
      </c>
      <c r="S5" s="151"/>
      <c r="T5" s="151"/>
    </row>
    <row r="6" spans="1:30" x14ac:dyDescent="0.35">
      <c r="A6" s="153" t="s">
        <v>176</v>
      </c>
      <c r="B6" s="151"/>
      <c r="C6" s="151" t="s">
        <v>172</v>
      </c>
      <c r="D6" s="151"/>
      <c r="E6" s="151"/>
      <c r="F6" s="151"/>
      <c r="G6" s="154"/>
      <c r="H6" s="154"/>
      <c r="I6" s="154"/>
      <c r="J6" s="154"/>
      <c r="K6" s="154"/>
      <c r="L6" s="151"/>
      <c r="M6" s="151"/>
      <c r="N6" s="151"/>
      <c r="O6" s="208"/>
      <c r="P6" s="151"/>
      <c r="Q6" s="151" t="s">
        <v>180</v>
      </c>
      <c r="R6" s="153" t="s">
        <v>203</v>
      </c>
      <c r="S6" s="151"/>
      <c r="T6" s="151"/>
    </row>
    <row r="7" spans="1:30" x14ac:dyDescent="0.35">
      <c r="A7" s="153" t="s">
        <v>177</v>
      </c>
      <c r="B7" s="151"/>
      <c r="C7" s="151" t="s">
        <v>174</v>
      </c>
      <c r="D7" s="151"/>
      <c r="E7" s="151"/>
      <c r="F7" s="151"/>
      <c r="G7" s="154"/>
      <c r="H7" s="154"/>
      <c r="I7" s="154"/>
      <c r="J7" s="154"/>
      <c r="K7" s="154"/>
      <c r="L7" s="151"/>
      <c r="M7" s="151"/>
      <c r="N7" s="151"/>
      <c r="O7" s="151"/>
      <c r="P7" s="151"/>
      <c r="Q7" s="151"/>
      <c r="R7" s="151"/>
      <c r="S7" s="151"/>
      <c r="T7" s="151"/>
    </row>
    <row r="8" spans="1:30" s="11" customFormat="1" x14ac:dyDescent="0.35">
      <c r="A8" s="283" t="s">
        <v>3</v>
      </c>
      <c r="B8" s="283" t="s">
        <v>4</v>
      </c>
      <c r="C8" s="283" t="s">
        <v>23</v>
      </c>
      <c r="D8" s="283" t="s">
        <v>6</v>
      </c>
      <c r="E8" s="283"/>
      <c r="F8" s="283"/>
      <c r="G8" s="283"/>
      <c r="H8" s="283"/>
      <c r="I8" s="283"/>
      <c r="J8" s="283"/>
      <c r="K8" s="283"/>
      <c r="L8" s="283" t="s">
        <v>22</v>
      </c>
      <c r="M8" s="283"/>
      <c r="N8" s="283"/>
      <c r="O8" s="283"/>
      <c r="P8" s="284" t="s">
        <v>16</v>
      </c>
      <c r="Q8" s="156"/>
      <c r="R8" s="157"/>
      <c r="S8" s="155"/>
      <c r="T8" s="191"/>
      <c r="AC8" s="11" t="s">
        <v>54</v>
      </c>
      <c r="AD8" s="11" t="s">
        <v>54</v>
      </c>
    </row>
    <row r="9" spans="1:30" s="11" customFormat="1" ht="43.5" x14ac:dyDescent="0.35">
      <c r="A9" s="283"/>
      <c r="B9" s="283"/>
      <c r="C9" s="283"/>
      <c r="D9" s="284" t="s">
        <v>7</v>
      </c>
      <c r="E9" s="284"/>
      <c r="F9" s="284"/>
      <c r="G9" s="284"/>
      <c r="H9" s="294" t="s">
        <v>12</v>
      </c>
      <c r="I9" s="294"/>
      <c r="J9" s="294"/>
      <c r="K9" s="294"/>
      <c r="L9" s="284" t="s">
        <v>13</v>
      </c>
      <c r="M9" s="284"/>
      <c r="N9" s="284" t="s">
        <v>15</v>
      </c>
      <c r="O9" s="284"/>
      <c r="P9" s="295"/>
      <c r="Q9" s="281" t="s">
        <v>17</v>
      </c>
      <c r="R9" s="282"/>
      <c r="S9" s="158" t="s">
        <v>104</v>
      </c>
      <c r="T9" s="191"/>
      <c r="W9" s="11" t="s">
        <v>15</v>
      </c>
      <c r="AC9" s="11" t="s">
        <v>56</v>
      </c>
      <c r="AD9" s="11" t="s">
        <v>56</v>
      </c>
    </row>
    <row r="10" spans="1:30" s="11" customFormat="1" ht="49.5" customHeight="1" x14ac:dyDescent="0.35">
      <c r="A10" s="283"/>
      <c r="B10" s="283"/>
      <c r="C10" s="283"/>
      <c r="D10" s="159" t="s">
        <v>8</v>
      </c>
      <c r="E10" s="159" t="s">
        <v>9</v>
      </c>
      <c r="F10" s="159" t="s">
        <v>10</v>
      </c>
      <c r="G10" s="160" t="s">
        <v>11</v>
      </c>
      <c r="H10" s="160" t="s">
        <v>0</v>
      </c>
      <c r="I10" s="160" t="s">
        <v>1</v>
      </c>
      <c r="J10" s="160" t="s">
        <v>2</v>
      </c>
      <c r="K10" s="160" t="s">
        <v>11</v>
      </c>
      <c r="L10" s="159" t="s">
        <v>14</v>
      </c>
      <c r="M10" s="159" t="s">
        <v>21</v>
      </c>
      <c r="N10" s="159" t="s">
        <v>14</v>
      </c>
      <c r="O10" s="159" t="s">
        <v>21</v>
      </c>
      <c r="P10" s="296"/>
      <c r="Q10" s="159" t="s">
        <v>19</v>
      </c>
      <c r="R10" s="159" t="s">
        <v>20</v>
      </c>
      <c r="S10" s="161"/>
      <c r="T10" s="191"/>
      <c r="W10" s="11" t="s">
        <v>14</v>
      </c>
      <c r="X10" s="11" t="s">
        <v>21</v>
      </c>
      <c r="AC10" s="11" t="s">
        <v>55</v>
      </c>
      <c r="AD10" s="11" t="s">
        <v>55</v>
      </c>
    </row>
    <row r="11" spans="1:30" x14ac:dyDescent="0.35">
      <c r="A11" s="179">
        <v>1</v>
      </c>
      <c r="B11" s="176" t="s">
        <v>5</v>
      </c>
      <c r="C11" s="176"/>
      <c r="D11" s="176"/>
      <c r="E11" s="176"/>
      <c r="F11" s="176"/>
      <c r="G11" s="201"/>
      <c r="H11" s="201"/>
      <c r="I11" s="201"/>
      <c r="J11" s="201"/>
      <c r="K11" s="201"/>
      <c r="L11" s="176"/>
      <c r="M11" s="176"/>
      <c r="N11" s="176"/>
      <c r="O11" s="176"/>
      <c r="P11" s="179" t="s">
        <v>67</v>
      </c>
      <c r="Q11" s="176"/>
      <c r="R11" s="176"/>
      <c r="S11" s="176"/>
      <c r="T11" s="151"/>
      <c r="AC11" t="e">
        <f>CONCATENATE(#REF!,B11)</f>
        <v>#REF!</v>
      </c>
      <c r="AD11" t="str">
        <f>IF(L11="","",L11/M11)</f>
        <v/>
      </c>
    </row>
    <row r="12" spans="1:30" x14ac:dyDescent="0.35">
      <c r="A12" s="179">
        <v>2</v>
      </c>
      <c r="B12" s="176" t="s">
        <v>25</v>
      </c>
      <c r="C12" s="176"/>
      <c r="D12" s="176"/>
      <c r="E12" s="176"/>
      <c r="F12" s="176"/>
      <c r="G12" s="201"/>
      <c r="H12" s="201"/>
      <c r="I12" s="201"/>
      <c r="J12" s="201"/>
      <c r="K12" s="201"/>
      <c r="L12" s="176"/>
      <c r="M12" s="176"/>
      <c r="N12" s="176"/>
      <c r="O12" s="176"/>
      <c r="P12" s="179" t="s">
        <v>68</v>
      </c>
      <c r="Q12" s="176"/>
      <c r="R12" s="176"/>
      <c r="S12" s="176"/>
      <c r="T12" s="151"/>
      <c r="AC12" t="e">
        <f>CONCATENATE(#REF!,B12)</f>
        <v>#REF!</v>
      </c>
      <c r="AD12" t="str">
        <f t="shared" ref="AD12:AD20" si="0">IF(L12="","",L12/M12)</f>
        <v/>
      </c>
    </row>
    <row r="13" spans="1:30" x14ac:dyDescent="0.35">
      <c r="A13" s="179">
        <v>3</v>
      </c>
      <c r="B13" s="176" t="s">
        <v>26</v>
      </c>
      <c r="C13" s="176"/>
      <c r="D13" s="176"/>
      <c r="E13" s="176"/>
      <c r="F13" s="176"/>
      <c r="G13" s="201"/>
      <c r="H13" s="201"/>
      <c r="I13" s="201"/>
      <c r="J13" s="201"/>
      <c r="K13" s="201"/>
      <c r="L13" s="176"/>
      <c r="M13" s="176"/>
      <c r="N13" s="176"/>
      <c r="O13" s="176"/>
      <c r="P13" s="179" t="s">
        <v>68</v>
      </c>
      <c r="Q13" s="176"/>
      <c r="R13" s="176"/>
      <c r="S13" s="176"/>
      <c r="T13" s="151"/>
      <c r="AC13" t="e">
        <f>CONCATENATE(#REF!,B13)</f>
        <v>#REF!</v>
      </c>
      <c r="AD13" t="str">
        <f t="shared" si="0"/>
        <v/>
      </c>
    </row>
    <row r="14" spans="1:30" x14ac:dyDescent="0.35">
      <c r="A14" s="179">
        <v>4</v>
      </c>
      <c r="B14" s="176" t="s">
        <v>27</v>
      </c>
      <c r="C14" s="176"/>
      <c r="D14" s="176"/>
      <c r="E14" s="176"/>
      <c r="F14" s="176"/>
      <c r="G14" s="201"/>
      <c r="H14" s="201"/>
      <c r="I14" s="201"/>
      <c r="J14" s="201"/>
      <c r="K14" s="201"/>
      <c r="L14" s="176"/>
      <c r="M14" s="176"/>
      <c r="N14" s="176"/>
      <c r="O14" s="176"/>
      <c r="P14" s="179" t="s">
        <v>69</v>
      </c>
      <c r="Q14" s="176"/>
      <c r="R14" s="176"/>
      <c r="S14" s="176"/>
      <c r="T14" s="151"/>
      <c r="AC14" t="e">
        <f>CONCATENATE(#REF!,B14)</f>
        <v>#REF!</v>
      </c>
      <c r="AD14" t="str">
        <f t="shared" si="0"/>
        <v/>
      </c>
    </row>
    <row r="15" spans="1:30" x14ac:dyDescent="0.35">
      <c r="A15" s="179">
        <v>5</v>
      </c>
      <c r="B15" s="176" t="s">
        <v>28</v>
      </c>
      <c r="C15" s="176"/>
      <c r="D15" s="176"/>
      <c r="E15" s="176"/>
      <c r="F15" s="176"/>
      <c r="G15" s="201"/>
      <c r="H15" s="201"/>
      <c r="I15" s="201"/>
      <c r="J15" s="201"/>
      <c r="K15" s="201"/>
      <c r="L15" s="176"/>
      <c r="M15" s="176"/>
      <c r="N15" s="176"/>
      <c r="O15" s="176"/>
      <c r="P15" s="179" t="s">
        <v>70</v>
      </c>
      <c r="Q15" s="176"/>
      <c r="R15" s="176"/>
      <c r="S15" s="176"/>
      <c r="T15" s="151"/>
      <c r="AC15" t="e">
        <f>CONCATENATE(#REF!,B15)</f>
        <v>#REF!</v>
      </c>
      <c r="AD15" t="str">
        <f t="shared" si="0"/>
        <v/>
      </c>
    </row>
    <row r="16" spans="1:30" x14ac:dyDescent="0.35">
      <c r="A16" s="179">
        <v>6</v>
      </c>
      <c r="B16" s="176" t="s">
        <v>29</v>
      </c>
      <c r="C16" s="176"/>
      <c r="D16" s="176"/>
      <c r="E16" s="176"/>
      <c r="F16" s="176"/>
      <c r="G16" s="201"/>
      <c r="H16" s="201"/>
      <c r="I16" s="201"/>
      <c r="J16" s="201"/>
      <c r="K16" s="201"/>
      <c r="L16" s="176"/>
      <c r="M16" s="176"/>
      <c r="N16" s="176"/>
      <c r="O16" s="176"/>
      <c r="P16" s="179" t="s">
        <v>70</v>
      </c>
      <c r="Q16" s="176"/>
      <c r="R16" s="176"/>
      <c r="S16" s="176"/>
      <c r="T16" s="151"/>
      <c r="AC16" t="e">
        <f>CONCATENATE(#REF!,B16)</f>
        <v>#REF!</v>
      </c>
      <c r="AD16" t="str">
        <f t="shared" si="0"/>
        <v/>
      </c>
    </row>
    <row r="17" spans="1:30" x14ac:dyDescent="0.35">
      <c r="A17" s="179">
        <v>7</v>
      </c>
      <c r="B17" s="176" t="s">
        <v>30</v>
      </c>
      <c r="C17" s="176"/>
      <c r="D17" s="176"/>
      <c r="E17" s="176"/>
      <c r="F17" s="176"/>
      <c r="G17" s="201"/>
      <c r="H17" s="201"/>
      <c r="I17" s="201"/>
      <c r="J17" s="201"/>
      <c r="K17" s="201"/>
      <c r="L17" s="176"/>
      <c r="M17" s="176"/>
      <c r="N17" s="176"/>
      <c r="O17" s="176"/>
      <c r="P17" s="179" t="s">
        <v>71</v>
      </c>
      <c r="Q17" s="176"/>
      <c r="R17" s="176"/>
      <c r="S17" s="176"/>
      <c r="T17" s="151"/>
      <c r="AC17" t="e">
        <f>CONCATENATE(#REF!,B17)</f>
        <v>#REF!</v>
      </c>
      <c r="AD17" t="str">
        <f t="shared" si="0"/>
        <v/>
      </c>
    </row>
    <row r="18" spans="1:30" x14ac:dyDescent="0.35">
      <c r="A18" s="179">
        <v>8</v>
      </c>
      <c r="B18" s="176" t="s">
        <v>31</v>
      </c>
      <c r="C18" s="176"/>
      <c r="D18" s="176"/>
      <c r="E18" s="176"/>
      <c r="F18" s="176"/>
      <c r="G18" s="201"/>
      <c r="H18" s="201"/>
      <c r="I18" s="201"/>
      <c r="J18" s="201"/>
      <c r="K18" s="201"/>
      <c r="L18" s="176"/>
      <c r="M18" s="176"/>
      <c r="N18" s="176"/>
      <c r="O18" s="176"/>
      <c r="P18" s="179" t="s">
        <v>72</v>
      </c>
      <c r="Q18" s="176"/>
      <c r="R18" s="176"/>
      <c r="S18" s="176"/>
      <c r="T18" s="151"/>
      <c r="AC18" t="e">
        <f>CONCATENATE(#REF!,B18)</f>
        <v>#REF!</v>
      </c>
      <c r="AD18" t="str">
        <f t="shared" si="0"/>
        <v/>
      </c>
    </row>
    <row r="19" spans="1:30" x14ac:dyDescent="0.35">
      <c r="A19" s="179">
        <v>9</v>
      </c>
      <c r="B19" s="176" t="s">
        <v>32</v>
      </c>
      <c r="C19" s="176"/>
      <c r="D19" s="176"/>
      <c r="E19" s="176"/>
      <c r="F19" s="176"/>
      <c r="G19" s="201"/>
      <c r="H19" s="201"/>
      <c r="I19" s="201"/>
      <c r="J19" s="201"/>
      <c r="K19" s="201"/>
      <c r="L19" s="176"/>
      <c r="M19" s="176"/>
      <c r="N19" s="176"/>
      <c r="O19" s="176"/>
      <c r="P19" s="179" t="s">
        <v>72</v>
      </c>
      <c r="Q19" s="176"/>
      <c r="R19" s="176"/>
      <c r="S19" s="176"/>
      <c r="T19" s="151"/>
      <c r="AC19" t="e">
        <f>CONCATENATE(#REF!,B19)</f>
        <v>#REF!</v>
      </c>
      <c r="AD19" t="str">
        <f t="shared" si="0"/>
        <v/>
      </c>
    </row>
    <row r="20" spans="1:30" x14ac:dyDescent="0.35">
      <c r="A20" s="179">
        <v>10</v>
      </c>
      <c r="B20" s="176" t="s">
        <v>33</v>
      </c>
      <c r="C20" s="209">
        <v>1.8</v>
      </c>
      <c r="D20" s="210">
        <v>0</v>
      </c>
      <c r="E20" s="210">
        <v>0</v>
      </c>
      <c r="F20" s="199">
        <v>0.9</v>
      </c>
      <c r="G20" s="197">
        <f>C20+E20-F20</f>
        <v>0.9</v>
      </c>
      <c r="H20" s="197">
        <v>0</v>
      </c>
      <c r="I20" s="197">
        <f>0.9-0.9</f>
        <v>0</v>
      </c>
      <c r="J20" s="199">
        <v>0.9</v>
      </c>
      <c r="K20" s="197">
        <f>SUM(H20:J20)</f>
        <v>0.9</v>
      </c>
      <c r="L20" s="197">
        <v>1202.4000000000001</v>
      </c>
      <c r="M20" s="197">
        <v>668</v>
      </c>
      <c r="N20" s="209">
        <f>O20*I20</f>
        <v>0</v>
      </c>
      <c r="O20" s="209">
        <v>0</v>
      </c>
      <c r="P20" s="179" t="s">
        <v>72</v>
      </c>
      <c r="Q20" s="198">
        <v>17</v>
      </c>
      <c r="R20" s="198"/>
      <c r="S20" s="179"/>
      <c r="T20" s="151"/>
      <c r="U20" s="28"/>
      <c r="V20" s="28"/>
      <c r="W20">
        <v>177.12</v>
      </c>
      <c r="X20">
        <v>196.8</v>
      </c>
      <c r="AC20" t="e">
        <f>CONCATENATE(#REF!,B20)</f>
        <v>#REF!</v>
      </c>
      <c r="AD20">
        <f t="shared" si="0"/>
        <v>1.8</v>
      </c>
    </row>
    <row r="21" spans="1:30" x14ac:dyDescent="0.35">
      <c r="A21" s="179">
        <v>11</v>
      </c>
      <c r="B21" s="176" t="s">
        <v>96</v>
      </c>
      <c r="C21" s="201"/>
      <c r="D21" s="201"/>
      <c r="E21" s="201"/>
      <c r="F21" s="202"/>
      <c r="G21" s="202"/>
      <c r="H21" s="202"/>
      <c r="I21" s="202"/>
      <c r="J21" s="202"/>
      <c r="K21" s="202"/>
      <c r="L21" s="202"/>
      <c r="M21" s="202"/>
      <c r="N21" s="201"/>
      <c r="O21" s="201"/>
      <c r="P21" s="176"/>
      <c r="Q21" s="176"/>
      <c r="R21" s="176"/>
      <c r="S21" s="176"/>
      <c r="T21" s="151"/>
      <c r="AC21" t="e">
        <f>CONCATENATE(#REF!,B22)</f>
        <v>#REF!</v>
      </c>
      <c r="AD21" t="str">
        <f t="shared" ref="AD21:AD37" si="1">IF(L22="","",L22/M22)</f>
        <v/>
      </c>
    </row>
    <row r="22" spans="1:30" x14ac:dyDescent="0.35">
      <c r="A22" s="179">
        <v>12</v>
      </c>
      <c r="B22" s="176" t="s">
        <v>34</v>
      </c>
      <c r="C22" s="209"/>
      <c r="D22" s="209"/>
      <c r="E22" s="209"/>
      <c r="F22" s="197"/>
      <c r="G22" s="197"/>
      <c r="H22" s="197"/>
      <c r="I22" s="197"/>
      <c r="J22" s="197"/>
      <c r="K22" s="197"/>
      <c r="L22" s="197"/>
      <c r="M22" s="197"/>
      <c r="N22" s="209"/>
      <c r="O22" s="209"/>
      <c r="P22" s="179" t="s">
        <v>73</v>
      </c>
      <c r="Q22" s="198"/>
      <c r="R22" s="198"/>
      <c r="S22" s="179"/>
      <c r="T22" s="151"/>
      <c r="AC22" t="e">
        <f>CONCATENATE(#REF!,B23)</f>
        <v>#REF!</v>
      </c>
      <c r="AD22">
        <f t="shared" si="1"/>
        <v>967</v>
      </c>
    </row>
    <row r="23" spans="1:30" x14ac:dyDescent="0.35">
      <c r="A23" s="179">
        <v>13</v>
      </c>
      <c r="B23" s="176" t="s">
        <v>35</v>
      </c>
      <c r="C23" s="209">
        <v>1784.1</v>
      </c>
      <c r="D23" s="210">
        <v>0</v>
      </c>
      <c r="E23" s="210">
        <f>34+60</f>
        <v>94</v>
      </c>
      <c r="F23" s="199">
        <v>0</v>
      </c>
      <c r="G23" s="197">
        <f>C23+E23-F23</f>
        <v>1878.1</v>
      </c>
      <c r="H23" s="197">
        <f>481.1+34+60</f>
        <v>575.1</v>
      </c>
      <c r="I23" s="197">
        <v>967</v>
      </c>
      <c r="J23" s="197">
        <f>336</f>
        <v>336</v>
      </c>
      <c r="K23" s="197">
        <f>SUM(H23:J23)</f>
        <v>1878.1</v>
      </c>
      <c r="L23" s="197">
        <v>912848</v>
      </c>
      <c r="M23" s="197">
        <v>944</v>
      </c>
      <c r="N23" s="209">
        <f>O23*I23</f>
        <v>1110599.5</v>
      </c>
      <c r="O23" s="209">
        <v>1148.5</v>
      </c>
      <c r="P23" s="179" t="s">
        <v>74</v>
      </c>
      <c r="Q23" s="196">
        <f>7098-3500</f>
        <v>3598</v>
      </c>
      <c r="R23" s="198"/>
      <c r="S23" s="179"/>
      <c r="T23" s="151"/>
      <c r="W23">
        <v>280913.5</v>
      </c>
      <c r="X23">
        <v>290.5</v>
      </c>
      <c r="AC23" t="e">
        <f>CONCATENATE(#REF!,B24)</f>
        <v>#REF!</v>
      </c>
      <c r="AD23">
        <f t="shared" si="1"/>
        <v>357.00000000000006</v>
      </c>
    </row>
    <row r="24" spans="1:30" x14ac:dyDescent="0.35">
      <c r="A24" s="179">
        <v>14</v>
      </c>
      <c r="B24" s="176" t="s">
        <v>36</v>
      </c>
      <c r="C24" s="209">
        <f>357+5</f>
        <v>362</v>
      </c>
      <c r="D24" s="210">
        <v>0</v>
      </c>
      <c r="E24" s="210">
        <v>0</v>
      </c>
      <c r="F24" s="199">
        <v>0</v>
      </c>
      <c r="G24" s="197">
        <f>C24+E24-F24</f>
        <v>362</v>
      </c>
      <c r="H24" s="199">
        <v>0</v>
      </c>
      <c r="I24" s="197">
        <f>357+5</f>
        <v>362</v>
      </c>
      <c r="J24" s="197">
        <v>0</v>
      </c>
      <c r="K24" s="197">
        <f>SUM(H24:J24)</f>
        <v>362</v>
      </c>
      <c r="L24" s="194">
        <v>3262201.74</v>
      </c>
      <c r="M24" s="197">
        <v>9137.82</v>
      </c>
      <c r="N24" s="209">
        <f>O24*I24</f>
        <v>3395813.4000000004</v>
      </c>
      <c r="O24" s="209">
        <v>9380.7000000000007</v>
      </c>
      <c r="P24" s="179" t="s">
        <v>75</v>
      </c>
      <c r="Q24" s="211">
        <f>1428-700</f>
        <v>728</v>
      </c>
      <c r="R24" s="179"/>
      <c r="S24" s="179"/>
      <c r="T24" s="151"/>
      <c r="W24">
        <v>812690</v>
      </c>
      <c r="X24">
        <v>2245</v>
      </c>
      <c r="AC24" t="e">
        <f>CONCATENATE(#REF!,B25)</f>
        <v>#REF!</v>
      </c>
      <c r="AD24" t="str">
        <f t="shared" si="1"/>
        <v/>
      </c>
    </row>
    <row r="25" spans="1:30" x14ac:dyDescent="0.35">
      <c r="A25" s="179">
        <v>15</v>
      </c>
      <c r="B25" s="176" t="s">
        <v>37</v>
      </c>
      <c r="C25" s="198"/>
      <c r="D25" s="198"/>
      <c r="E25" s="198"/>
      <c r="F25" s="198"/>
      <c r="G25" s="209"/>
      <c r="H25" s="209"/>
      <c r="I25" s="209"/>
      <c r="J25" s="209"/>
      <c r="K25" s="209"/>
      <c r="L25" s="198"/>
      <c r="M25" s="198"/>
      <c r="N25" s="198"/>
      <c r="O25" s="198"/>
      <c r="P25" s="179" t="s">
        <v>74</v>
      </c>
      <c r="Q25" s="176"/>
      <c r="R25" s="176"/>
      <c r="S25" s="176"/>
      <c r="T25" s="151"/>
      <c r="AC25" t="e">
        <f>CONCATENATE(#REF!,B26)</f>
        <v>#REF!</v>
      </c>
      <c r="AD25" t="str">
        <f t="shared" si="1"/>
        <v/>
      </c>
    </row>
    <row r="26" spans="1:30" x14ac:dyDescent="0.35">
      <c r="A26" s="179">
        <v>16</v>
      </c>
      <c r="B26" s="176" t="s">
        <v>38</v>
      </c>
      <c r="C26" s="176"/>
      <c r="D26" s="176"/>
      <c r="E26" s="176"/>
      <c r="F26" s="176"/>
      <c r="G26" s="201"/>
      <c r="H26" s="201"/>
      <c r="I26" s="201"/>
      <c r="J26" s="201"/>
      <c r="K26" s="201"/>
      <c r="L26" s="176"/>
      <c r="M26" s="176"/>
      <c r="N26" s="176"/>
      <c r="O26" s="176"/>
      <c r="P26" s="179" t="s">
        <v>76</v>
      </c>
      <c r="Q26" s="176"/>
      <c r="R26" s="176"/>
      <c r="S26" s="176"/>
      <c r="T26" s="151"/>
      <c r="AC26" t="e">
        <f>CONCATENATE(#REF!,B27)</f>
        <v>#REF!</v>
      </c>
      <c r="AD26" t="str">
        <f t="shared" si="1"/>
        <v/>
      </c>
    </row>
    <row r="27" spans="1:30" x14ac:dyDescent="0.35">
      <c r="A27" s="179">
        <v>17</v>
      </c>
      <c r="B27" s="176" t="s">
        <v>39</v>
      </c>
      <c r="C27" s="176"/>
      <c r="D27" s="176"/>
      <c r="E27" s="176"/>
      <c r="F27" s="176"/>
      <c r="G27" s="201"/>
      <c r="H27" s="201"/>
      <c r="I27" s="201"/>
      <c r="J27" s="201"/>
      <c r="K27" s="201"/>
      <c r="L27" s="176"/>
      <c r="M27" s="176"/>
      <c r="N27" s="176"/>
      <c r="O27" s="176"/>
      <c r="P27" s="179" t="s">
        <v>77</v>
      </c>
      <c r="Q27" s="176"/>
      <c r="R27" s="176"/>
      <c r="S27" s="176"/>
      <c r="T27" s="151"/>
      <c r="AC27" t="e">
        <f>CONCATENATE(#REF!,B28)</f>
        <v>#REF!</v>
      </c>
      <c r="AD27" t="str">
        <f t="shared" si="1"/>
        <v/>
      </c>
    </row>
    <row r="28" spans="1:30" x14ac:dyDescent="0.35">
      <c r="A28" s="179">
        <v>18</v>
      </c>
      <c r="B28" s="176" t="s">
        <v>40</v>
      </c>
      <c r="C28" s="176"/>
      <c r="D28" s="176"/>
      <c r="E28" s="176"/>
      <c r="F28" s="176"/>
      <c r="G28" s="201"/>
      <c r="H28" s="201"/>
      <c r="I28" s="201"/>
      <c r="J28" s="201"/>
      <c r="K28" s="201"/>
      <c r="L28" s="176"/>
      <c r="M28" s="176"/>
      <c r="N28" s="176"/>
      <c r="O28" s="176"/>
      <c r="P28" s="179" t="s">
        <v>78</v>
      </c>
      <c r="Q28" s="176"/>
      <c r="R28" s="176"/>
      <c r="S28" s="176"/>
      <c r="T28" s="151"/>
      <c r="AC28" t="e">
        <f>CONCATENATE(#REF!,B29)</f>
        <v>#REF!</v>
      </c>
      <c r="AD28" t="str">
        <f t="shared" si="1"/>
        <v/>
      </c>
    </row>
    <row r="29" spans="1:30" x14ac:dyDescent="0.35">
      <c r="A29" s="179">
        <v>19</v>
      </c>
      <c r="B29" s="176" t="s">
        <v>41</v>
      </c>
      <c r="C29" s="176"/>
      <c r="D29" s="176"/>
      <c r="E29" s="176"/>
      <c r="F29" s="176"/>
      <c r="G29" s="201"/>
      <c r="H29" s="201"/>
      <c r="I29" s="201"/>
      <c r="J29" s="201"/>
      <c r="K29" s="201"/>
      <c r="L29" s="176"/>
      <c r="M29" s="176"/>
      <c r="N29" s="176"/>
      <c r="O29" s="176"/>
      <c r="P29" s="179" t="s">
        <v>79</v>
      </c>
      <c r="Q29" s="176"/>
      <c r="R29" s="176"/>
      <c r="S29" s="176"/>
      <c r="T29" s="151"/>
      <c r="AC29" t="e">
        <f>CONCATENATE(#REF!,B30)</f>
        <v>#REF!</v>
      </c>
      <c r="AD29" t="str">
        <f t="shared" si="1"/>
        <v/>
      </c>
    </row>
    <row r="30" spans="1:30" x14ac:dyDescent="0.35">
      <c r="A30" s="179">
        <v>20</v>
      </c>
      <c r="B30" s="176" t="s">
        <v>42</v>
      </c>
      <c r="C30" s="176"/>
      <c r="D30" s="176"/>
      <c r="E30" s="176"/>
      <c r="F30" s="176"/>
      <c r="G30" s="201"/>
      <c r="H30" s="201"/>
      <c r="I30" s="201"/>
      <c r="J30" s="201"/>
      <c r="K30" s="201"/>
      <c r="L30" s="176"/>
      <c r="M30" s="176"/>
      <c r="N30" s="176"/>
      <c r="O30" s="176"/>
      <c r="P30" s="179" t="s">
        <v>80</v>
      </c>
      <c r="Q30" s="176"/>
      <c r="R30" s="176"/>
      <c r="S30" s="176"/>
      <c r="T30" s="151"/>
      <c r="AC30" t="e">
        <f>CONCATENATE(#REF!,B31)</f>
        <v>#REF!</v>
      </c>
      <c r="AD30" t="str">
        <f t="shared" si="1"/>
        <v/>
      </c>
    </row>
    <row r="31" spans="1:30" x14ac:dyDescent="0.35">
      <c r="A31" s="179">
        <v>21</v>
      </c>
      <c r="B31" s="176" t="s">
        <v>43</v>
      </c>
      <c r="C31" s="176"/>
      <c r="D31" s="176"/>
      <c r="E31" s="176"/>
      <c r="F31" s="176"/>
      <c r="G31" s="201"/>
      <c r="H31" s="201"/>
      <c r="I31" s="201"/>
      <c r="J31" s="201"/>
      <c r="K31" s="201"/>
      <c r="L31" s="176"/>
      <c r="M31" s="176"/>
      <c r="N31" s="176"/>
      <c r="O31" s="176"/>
      <c r="P31" s="179" t="s">
        <v>69</v>
      </c>
      <c r="Q31" s="176"/>
      <c r="R31" s="176"/>
      <c r="S31" s="176"/>
      <c r="T31" s="151"/>
      <c r="AC31" t="e">
        <f>CONCATENATE(#REF!,B32)</f>
        <v>#REF!</v>
      </c>
      <c r="AD31" t="str">
        <f t="shared" si="1"/>
        <v/>
      </c>
    </row>
    <row r="32" spans="1:30" x14ac:dyDescent="0.35">
      <c r="A32" s="179">
        <v>22</v>
      </c>
      <c r="B32" s="176" t="s">
        <v>44</v>
      </c>
      <c r="C32" s="176"/>
      <c r="D32" s="176"/>
      <c r="E32" s="176"/>
      <c r="F32" s="176"/>
      <c r="G32" s="201"/>
      <c r="H32" s="201"/>
      <c r="I32" s="201"/>
      <c r="J32" s="201"/>
      <c r="K32" s="201"/>
      <c r="L32" s="176"/>
      <c r="M32" s="176"/>
      <c r="N32" s="176"/>
      <c r="O32" s="176"/>
      <c r="P32" s="179" t="s">
        <v>81</v>
      </c>
      <c r="Q32" s="176"/>
      <c r="R32" s="176"/>
      <c r="S32" s="176"/>
      <c r="T32" s="151"/>
      <c r="AC32" t="e">
        <f>CONCATENATE(#REF!,B33)</f>
        <v>#REF!</v>
      </c>
      <c r="AD32" t="str">
        <f t="shared" si="1"/>
        <v/>
      </c>
    </row>
    <row r="33" spans="1:30" x14ac:dyDescent="0.35">
      <c r="A33" s="179">
        <v>23</v>
      </c>
      <c r="B33" s="176" t="s">
        <v>45</v>
      </c>
      <c r="C33" s="176"/>
      <c r="D33" s="176"/>
      <c r="E33" s="176"/>
      <c r="F33" s="176"/>
      <c r="G33" s="201"/>
      <c r="H33" s="201"/>
      <c r="I33" s="201"/>
      <c r="J33" s="201"/>
      <c r="K33" s="201"/>
      <c r="L33" s="176"/>
      <c r="M33" s="176"/>
      <c r="N33" s="176"/>
      <c r="O33" s="176"/>
      <c r="P33" s="179" t="s">
        <v>81</v>
      </c>
      <c r="Q33" s="176"/>
      <c r="R33" s="176"/>
      <c r="S33" s="176"/>
      <c r="T33" s="151"/>
      <c r="AC33" t="e">
        <f>CONCATENATE(#REF!,B34)</f>
        <v>#REF!</v>
      </c>
      <c r="AD33" t="str">
        <f t="shared" si="1"/>
        <v/>
      </c>
    </row>
    <row r="34" spans="1:30" x14ac:dyDescent="0.35">
      <c r="A34" s="179">
        <v>24</v>
      </c>
      <c r="B34" s="176" t="s">
        <v>46</v>
      </c>
      <c r="C34" s="176"/>
      <c r="D34" s="176"/>
      <c r="E34" s="176"/>
      <c r="F34" s="176"/>
      <c r="G34" s="201"/>
      <c r="H34" s="201"/>
      <c r="I34" s="201"/>
      <c r="J34" s="201"/>
      <c r="K34" s="201"/>
      <c r="L34" s="176"/>
      <c r="M34" s="176"/>
      <c r="N34" s="176"/>
      <c r="O34" s="176"/>
      <c r="P34" s="179" t="s">
        <v>72</v>
      </c>
      <c r="Q34" s="176"/>
      <c r="R34" s="176"/>
      <c r="S34" s="176"/>
      <c r="T34" s="151"/>
      <c r="AC34" t="e">
        <f>CONCATENATE(#REF!,B35)</f>
        <v>#REF!</v>
      </c>
      <c r="AD34" t="str">
        <f t="shared" si="1"/>
        <v/>
      </c>
    </row>
    <row r="35" spans="1:30" x14ac:dyDescent="0.35">
      <c r="A35" s="179">
        <v>25</v>
      </c>
      <c r="B35" s="176" t="s">
        <v>47</v>
      </c>
      <c r="C35" s="176"/>
      <c r="D35" s="176"/>
      <c r="E35" s="176"/>
      <c r="F35" s="176"/>
      <c r="G35" s="201"/>
      <c r="H35" s="201"/>
      <c r="I35" s="201"/>
      <c r="J35" s="201"/>
      <c r="K35" s="201"/>
      <c r="L35" s="176"/>
      <c r="M35" s="176"/>
      <c r="N35" s="176"/>
      <c r="O35" s="176"/>
      <c r="P35" s="179" t="s">
        <v>75</v>
      </c>
      <c r="Q35" s="176"/>
      <c r="R35" s="176"/>
      <c r="S35" s="176"/>
      <c r="T35" s="151"/>
      <c r="AC35" t="e">
        <f>CONCATENATE(#REF!,B36)</f>
        <v>#REF!</v>
      </c>
      <c r="AD35" t="str">
        <f t="shared" si="1"/>
        <v/>
      </c>
    </row>
    <row r="36" spans="1:30" x14ac:dyDescent="0.35">
      <c r="A36" s="179">
        <v>26</v>
      </c>
      <c r="B36" s="176" t="s">
        <v>48</v>
      </c>
      <c r="C36" s="176"/>
      <c r="D36" s="176"/>
      <c r="E36" s="176"/>
      <c r="F36" s="176"/>
      <c r="G36" s="201"/>
      <c r="H36" s="201"/>
      <c r="I36" s="201"/>
      <c r="J36" s="201"/>
      <c r="K36" s="201"/>
      <c r="L36" s="176"/>
      <c r="M36" s="176"/>
      <c r="N36" s="176"/>
      <c r="O36" s="176"/>
      <c r="P36" s="179" t="s">
        <v>72</v>
      </c>
      <c r="Q36" s="176"/>
      <c r="R36" s="176"/>
      <c r="S36" s="176"/>
      <c r="T36" s="151"/>
      <c r="AC36" t="e">
        <f>CONCATENATE(#REF!,B37)</f>
        <v>#REF!</v>
      </c>
      <c r="AD36" t="str">
        <f t="shared" si="1"/>
        <v/>
      </c>
    </row>
    <row r="37" spans="1:30" x14ac:dyDescent="0.35">
      <c r="A37" s="179">
        <v>27</v>
      </c>
      <c r="B37" s="176" t="s">
        <v>49</v>
      </c>
      <c r="C37" s="176"/>
      <c r="D37" s="176"/>
      <c r="E37" s="176"/>
      <c r="F37" s="176"/>
      <c r="G37" s="201"/>
      <c r="H37" s="201"/>
      <c r="I37" s="201"/>
      <c r="J37" s="201"/>
      <c r="K37" s="201"/>
      <c r="L37" s="176"/>
      <c r="M37" s="176"/>
      <c r="N37" s="176"/>
      <c r="O37" s="176"/>
      <c r="P37" s="179" t="s">
        <v>84</v>
      </c>
      <c r="Q37" s="176"/>
      <c r="R37" s="176"/>
      <c r="S37" s="176"/>
      <c r="T37" s="151"/>
      <c r="AC37" t="e">
        <f>CONCATENATE(#REF!,B38)</f>
        <v>#REF!</v>
      </c>
      <c r="AD37" t="str">
        <f t="shared" si="1"/>
        <v/>
      </c>
    </row>
    <row r="38" spans="1:30" x14ac:dyDescent="0.35">
      <c r="A38" s="179">
        <v>28</v>
      </c>
      <c r="B38" s="176" t="s">
        <v>50</v>
      </c>
      <c r="C38" s="176"/>
      <c r="D38" s="176"/>
      <c r="E38" s="176"/>
      <c r="F38" s="176"/>
      <c r="G38" s="201"/>
      <c r="H38" s="201"/>
      <c r="I38" s="201"/>
      <c r="J38" s="201"/>
      <c r="K38" s="201"/>
      <c r="L38" s="176"/>
      <c r="M38" s="176"/>
      <c r="N38" s="176"/>
      <c r="O38" s="176"/>
      <c r="P38" s="179" t="s">
        <v>77</v>
      </c>
      <c r="Q38" s="176"/>
      <c r="R38" s="176"/>
      <c r="S38" s="176"/>
      <c r="T38" s="151"/>
      <c r="AC38" t="e">
        <f>CONCATENATE(#REF!,#REF!)</f>
        <v>#REF!</v>
      </c>
    </row>
    <row r="39" spans="1:30" x14ac:dyDescent="0.35">
      <c r="A39" s="179">
        <v>29</v>
      </c>
      <c r="B39" s="176" t="s">
        <v>51</v>
      </c>
      <c r="C39" s="176"/>
      <c r="D39" s="176"/>
      <c r="E39" s="176"/>
      <c r="F39" s="176"/>
      <c r="G39" s="201"/>
      <c r="H39" s="201"/>
      <c r="I39" s="201"/>
      <c r="J39" s="201"/>
      <c r="K39" s="201"/>
      <c r="L39" s="176"/>
      <c r="M39" s="176"/>
      <c r="N39" s="176"/>
      <c r="O39" s="176"/>
      <c r="P39" s="179" t="s">
        <v>82</v>
      </c>
      <c r="Q39" s="176"/>
      <c r="R39" s="176"/>
      <c r="S39" s="176"/>
      <c r="T39" s="151"/>
      <c r="AC39" t="e">
        <f>CONCATENATE(#REF!,B40)</f>
        <v>#REF!</v>
      </c>
      <c r="AD39" t="str">
        <f>IF(L40="","",L40/M40)</f>
        <v/>
      </c>
    </row>
    <row r="40" spans="1:30" x14ac:dyDescent="0.35">
      <c r="A40" s="179">
        <v>30</v>
      </c>
      <c r="B40" s="176" t="s">
        <v>52</v>
      </c>
      <c r="C40" s="176"/>
      <c r="D40" s="176"/>
      <c r="E40" s="176"/>
      <c r="F40" s="176"/>
      <c r="G40" s="201"/>
      <c r="H40" s="201"/>
      <c r="I40" s="201"/>
      <c r="J40" s="201"/>
      <c r="K40" s="201"/>
      <c r="L40" s="176"/>
      <c r="M40" s="176"/>
      <c r="N40" s="176"/>
      <c r="O40" s="176"/>
      <c r="P40" s="179" t="s">
        <v>83</v>
      </c>
      <c r="Q40" s="176"/>
      <c r="R40" s="176"/>
      <c r="S40" s="176"/>
      <c r="T40" s="151"/>
    </row>
    <row r="41" spans="1:30" x14ac:dyDescent="0.35">
      <c r="A41" s="151"/>
      <c r="B41" s="151"/>
      <c r="C41" s="151"/>
      <c r="D41" s="151"/>
      <c r="E41" s="151"/>
      <c r="F41" s="151"/>
      <c r="G41" s="152"/>
      <c r="H41" s="152"/>
      <c r="I41" s="152"/>
      <c r="J41" s="152"/>
      <c r="K41" s="152"/>
      <c r="L41" s="151"/>
      <c r="M41" s="151"/>
      <c r="N41" s="151"/>
      <c r="O41" s="151"/>
      <c r="P41" s="151"/>
      <c r="Q41" s="151"/>
      <c r="R41" s="151"/>
      <c r="S41" s="151"/>
      <c r="T41" s="151"/>
    </row>
    <row r="42" spans="1:30" x14ac:dyDescent="0.35">
      <c r="A42" s="151"/>
      <c r="B42" s="151"/>
      <c r="C42" s="151"/>
      <c r="D42" s="151"/>
      <c r="E42" s="151"/>
      <c r="F42" s="151"/>
      <c r="G42" s="152"/>
      <c r="H42" s="152"/>
      <c r="I42" s="152"/>
      <c r="J42" s="152"/>
      <c r="K42" s="152"/>
      <c r="L42" s="151"/>
      <c r="M42" s="151"/>
      <c r="N42" s="151"/>
      <c r="O42" s="151"/>
      <c r="P42" s="286" t="s">
        <v>133</v>
      </c>
      <c r="Q42" s="286"/>
      <c r="R42" s="286"/>
      <c r="S42" s="151"/>
      <c r="T42" s="151"/>
    </row>
    <row r="43" spans="1:30" x14ac:dyDescent="0.35">
      <c r="A43" s="151"/>
      <c r="B43" s="151"/>
      <c r="C43" s="151"/>
      <c r="D43" s="151"/>
      <c r="E43" s="151"/>
      <c r="F43" s="151"/>
      <c r="G43" s="152"/>
      <c r="H43" s="152"/>
      <c r="I43" s="152"/>
      <c r="J43" s="152"/>
      <c r="K43" s="152"/>
      <c r="L43" s="151"/>
      <c r="M43" s="151"/>
      <c r="N43" s="151"/>
      <c r="O43" s="151"/>
      <c r="P43" s="261"/>
      <c r="Q43" s="261"/>
      <c r="R43" s="261"/>
      <c r="S43" s="151"/>
      <c r="T43" s="151"/>
    </row>
    <row r="44" spans="1:30" x14ac:dyDescent="0.35">
      <c r="A44" s="151"/>
      <c r="B44" s="151"/>
      <c r="C44" s="151"/>
      <c r="D44" s="151"/>
      <c r="E44" s="151"/>
      <c r="F44" s="151"/>
      <c r="G44" s="152"/>
      <c r="H44" s="152"/>
      <c r="I44" s="152"/>
      <c r="J44" s="152"/>
      <c r="K44" s="152"/>
      <c r="L44" s="151"/>
      <c r="M44" s="151"/>
      <c r="N44" s="151"/>
      <c r="O44" s="151"/>
      <c r="P44" s="261"/>
      <c r="Q44" s="261"/>
      <c r="R44" s="261"/>
      <c r="S44" s="151"/>
      <c r="T44" s="151"/>
    </row>
    <row r="45" spans="1:30" x14ac:dyDescent="0.35">
      <c r="A45" s="151"/>
      <c r="B45" s="151"/>
      <c r="C45" s="151"/>
      <c r="D45" s="151"/>
      <c r="E45" s="151"/>
      <c r="F45" s="151"/>
      <c r="G45" s="152"/>
      <c r="H45" s="152"/>
      <c r="I45" s="152"/>
      <c r="J45" s="152"/>
      <c r="K45" s="152"/>
      <c r="L45" s="151"/>
      <c r="M45" s="151"/>
      <c r="N45" s="151"/>
      <c r="O45" s="151"/>
      <c r="P45" s="190"/>
      <c r="Q45" s="190"/>
      <c r="R45" s="190"/>
      <c r="S45" s="151"/>
      <c r="T45" s="151"/>
    </row>
    <row r="46" spans="1:30" x14ac:dyDescent="0.35">
      <c r="A46" s="151"/>
      <c r="B46" s="151"/>
      <c r="C46" s="151"/>
      <c r="D46" s="151"/>
      <c r="E46" s="151"/>
      <c r="F46" s="151"/>
      <c r="G46" s="152"/>
      <c r="H46" s="152"/>
      <c r="I46" s="152"/>
      <c r="J46" s="152"/>
      <c r="K46" s="152"/>
      <c r="L46" s="151"/>
      <c r="M46" s="151"/>
      <c r="N46" s="151"/>
      <c r="O46" s="151"/>
      <c r="P46" s="293" t="s">
        <v>142</v>
      </c>
      <c r="Q46" s="293"/>
      <c r="R46" s="293"/>
      <c r="S46" s="151"/>
      <c r="T46" s="151"/>
    </row>
    <row r="47" spans="1:30" x14ac:dyDescent="0.35">
      <c r="A47" s="151"/>
      <c r="B47" s="151"/>
      <c r="C47" s="151"/>
      <c r="D47" s="151"/>
      <c r="E47" s="151"/>
      <c r="F47" s="151"/>
      <c r="G47" s="152"/>
      <c r="H47" s="152"/>
      <c r="I47" s="152"/>
      <c r="J47" s="152"/>
      <c r="K47" s="152"/>
      <c r="L47" s="151"/>
      <c r="M47" s="151"/>
      <c r="N47" s="151"/>
      <c r="O47" s="151"/>
      <c r="P47" s="285"/>
      <c r="Q47" s="285"/>
      <c r="R47" s="285"/>
      <c r="S47" s="151"/>
      <c r="T47" s="151"/>
    </row>
    <row r="48" spans="1:30" x14ac:dyDescent="0.35">
      <c r="A48" s="151"/>
      <c r="B48" s="151"/>
      <c r="C48" s="151"/>
      <c r="D48" s="151"/>
      <c r="E48" s="151"/>
      <c r="F48" s="151"/>
      <c r="G48" s="152"/>
      <c r="H48" s="152"/>
      <c r="I48" s="152"/>
      <c r="J48" s="152"/>
      <c r="K48" s="152"/>
      <c r="L48" s="151"/>
      <c r="M48" s="151"/>
      <c r="N48" s="151"/>
      <c r="O48" s="151"/>
      <c r="P48" s="151"/>
      <c r="Q48" s="151"/>
      <c r="R48" s="151"/>
      <c r="S48" s="151"/>
      <c r="T48" s="151"/>
    </row>
    <row r="49" spans="1:20" x14ac:dyDescent="0.35">
      <c r="A49" s="151"/>
      <c r="B49" s="151"/>
      <c r="C49" s="151"/>
      <c r="D49" s="151"/>
      <c r="E49" s="151"/>
      <c r="F49" s="151"/>
      <c r="G49" s="152"/>
      <c r="H49" s="152"/>
      <c r="I49" s="152"/>
      <c r="J49" s="152"/>
      <c r="K49" s="152"/>
      <c r="L49" s="151"/>
      <c r="M49" s="151"/>
      <c r="N49" s="151"/>
      <c r="O49" s="151"/>
      <c r="P49" s="151"/>
      <c r="Q49" s="151"/>
      <c r="R49" s="151"/>
      <c r="S49" s="151"/>
      <c r="T49" s="151"/>
    </row>
    <row r="50" spans="1:20" x14ac:dyDescent="0.35">
      <c r="A50" s="151"/>
      <c r="B50" s="151"/>
      <c r="C50" s="151"/>
      <c r="D50" s="151"/>
      <c r="E50" s="151"/>
      <c r="F50" s="151"/>
      <c r="G50" s="152"/>
      <c r="H50" s="152"/>
      <c r="I50" s="152"/>
      <c r="J50" s="152"/>
      <c r="K50" s="152"/>
      <c r="L50" s="151"/>
      <c r="M50" s="151"/>
      <c r="N50" s="151"/>
      <c r="O50" s="151"/>
      <c r="P50" s="151"/>
      <c r="Q50" s="151"/>
      <c r="R50" s="151"/>
      <c r="S50" s="151"/>
      <c r="T50" s="151"/>
    </row>
  </sheetData>
  <mergeCells count="15">
    <mergeCell ref="P42:R42"/>
    <mergeCell ref="P46:R46"/>
    <mergeCell ref="P47:R47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  <mergeCell ref="P8:P10"/>
  </mergeCells>
  <pageMargins left="0.5" right="0.25" top="0.5" bottom="0.5" header="0.3" footer="0.3"/>
  <pageSetup paperSize="5" scale="7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D47"/>
  <sheetViews>
    <sheetView topLeftCell="B1" zoomScale="90" zoomScaleNormal="90" workbookViewId="0">
      <selection activeCell="O25" sqref="O25"/>
    </sheetView>
  </sheetViews>
  <sheetFormatPr defaultRowHeight="14.5" x14ac:dyDescent="0.35"/>
  <cols>
    <col min="1" max="1" width="5.1796875" customWidth="1"/>
    <col min="2" max="2" width="17.7265625" customWidth="1"/>
    <col min="3" max="3" width="12.7265625" customWidth="1"/>
    <col min="4" max="4" width="9.54296875" customWidth="1"/>
    <col min="5" max="5" width="9.26953125" customWidth="1"/>
    <col min="6" max="6" width="8.54296875" customWidth="1"/>
    <col min="7" max="7" width="11.81640625" style="32" customWidth="1"/>
    <col min="8" max="8" width="8.54296875" style="32" customWidth="1"/>
    <col min="9" max="9" width="7.7265625" style="32" customWidth="1"/>
    <col min="10" max="10" width="8.26953125" style="32" customWidth="1"/>
    <col min="11" max="11" width="9.81640625" style="32" customWidth="1"/>
    <col min="12" max="12" width="12.54296875" bestFit="1" customWidth="1"/>
    <col min="13" max="13" width="9.81640625" customWidth="1"/>
    <col min="14" max="14" width="12.7265625" customWidth="1"/>
    <col min="15" max="15" width="11.54296875" customWidth="1"/>
    <col min="16" max="16" width="15.26953125" bestFit="1" customWidth="1"/>
    <col min="17" max="17" width="10.7265625" customWidth="1"/>
    <col min="18" max="18" width="9.26953125" customWidth="1"/>
    <col min="19" max="19" width="7.26953125" customWidth="1"/>
    <col min="21" max="21" width="11" bestFit="1" customWidth="1"/>
    <col min="22" max="22" width="11" customWidth="1"/>
    <col min="29" max="30" width="9.1796875" hidden="1" customWidth="1"/>
  </cols>
  <sheetData>
    <row r="1" spans="1:30" x14ac:dyDescent="0.35">
      <c r="A1" s="1" t="s">
        <v>57</v>
      </c>
      <c r="G1" s="30"/>
      <c r="H1" s="30"/>
      <c r="I1" s="30"/>
      <c r="J1" s="30"/>
      <c r="K1" s="30"/>
    </row>
    <row r="2" spans="1:30" x14ac:dyDescent="0.35">
      <c r="A2" s="2"/>
      <c r="G2" s="30"/>
      <c r="H2" s="30"/>
      <c r="I2" s="30"/>
      <c r="J2" s="30"/>
      <c r="K2" s="30"/>
    </row>
    <row r="3" spans="1:30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30" x14ac:dyDescent="0.35">
      <c r="A4" s="1"/>
      <c r="G4" s="30"/>
      <c r="H4" s="30"/>
      <c r="I4" s="30"/>
      <c r="J4" s="30"/>
      <c r="K4" s="30"/>
      <c r="R4" s="5"/>
      <c r="S4" s="6"/>
    </row>
    <row r="5" spans="1:30" x14ac:dyDescent="0.35">
      <c r="A5" s="1" t="s">
        <v>175</v>
      </c>
      <c r="C5" t="s">
        <v>186</v>
      </c>
      <c r="G5" s="30"/>
      <c r="H5" s="30"/>
      <c r="I5" s="30"/>
      <c r="J5" s="30"/>
      <c r="K5" s="30"/>
      <c r="Q5" t="s">
        <v>60</v>
      </c>
      <c r="R5" s="1">
        <v>2019</v>
      </c>
    </row>
    <row r="6" spans="1:30" x14ac:dyDescent="0.35">
      <c r="A6" s="1" t="s">
        <v>176</v>
      </c>
      <c r="C6" t="s">
        <v>172</v>
      </c>
      <c r="E6" s="26"/>
      <c r="G6" s="30"/>
      <c r="H6" s="30"/>
      <c r="I6" s="30"/>
      <c r="J6" s="30"/>
      <c r="K6" s="30"/>
      <c r="Q6" t="s">
        <v>93</v>
      </c>
      <c r="R6" s="1" t="s">
        <v>202</v>
      </c>
    </row>
    <row r="7" spans="1:30" x14ac:dyDescent="0.35">
      <c r="A7" s="1" t="s">
        <v>177</v>
      </c>
      <c r="C7" t="s">
        <v>174</v>
      </c>
      <c r="G7" s="30"/>
      <c r="H7" s="30"/>
      <c r="I7" s="30"/>
      <c r="J7" s="30"/>
      <c r="K7" s="30"/>
    </row>
    <row r="8" spans="1:30" s="11" customFormat="1" x14ac:dyDescent="0.35">
      <c r="A8" s="290" t="s">
        <v>3</v>
      </c>
      <c r="B8" s="290" t="s">
        <v>4</v>
      </c>
      <c r="C8" s="290" t="s">
        <v>23</v>
      </c>
      <c r="D8" s="290" t="s">
        <v>6</v>
      </c>
      <c r="E8" s="290"/>
      <c r="F8" s="290"/>
      <c r="G8" s="290"/>
      <c r="H8" s="290"/>
      <c r="I8" s="290"/>
      <c r="J8" s="290"/>
      <c r="K8" s="290"/>
      <c r="L8" s="290" t="s">
        <v>22</v>
      </c>
      <c r="M8" s="290"/>
      <c r="N8" s="290"/>
      <c r="O8" s="290"/>
      <c r="P8" s="8"/>
      <c r="Q8" s="9"/>
      <c r="R8" s="10"/>
      <c r="S8" s="8"/>
      <c r="AC8" s="11" t="s">
        <v>54</v>
      </c>
      <c r="AD8" s="11" t="s">
        <v>54</v>
      </c>
    </row>
    <row r="9" spans="1:30" s="11" customFormat="1" ht="43.5" x14ac:dyDescent="0.35">
      <c r="A9" s="290"/>
      <c r="B9" s="290"/>
      <c r="C9" s="290"/>
      <c r="D9" s="291" t="s">
        <v>7</v>
      </c>
      <c r="E9" s="291"/>
      <c r="F9" s="291"/>
      <c r="G9" s="291"/>
      <c r="H9" s="297" t="s">
        <v>12</v>
      </c>
      <c r="I9" s="297"/>
      <c r="J9" s="297"/>
      <c r="K9" s="297"/>
      <c r="L9" s="291" t="s">
        <v>13</v>
      </c>
      <c r="M9" s="291"/>
      <c r="N9" s="291" t="s">
        <v>15</v>
      </c>
      <c r="O9" s="291"/>
      <c r="P9" s="12"/>
      <c r="Q9" s="288" t="s">
        <v>17</v>
      </c>
      <c r="R9" s="289"/>
      <c r="S9" s="12" t="s">
        <v>104</v>
      </c>
      <c r="W9" s="11" t="s">
        <v>15</v>
      </c>
      <c r="AC9" s="11" t="s">
        <v>56</v>
      </c>
      <c r="AD9" s="11" t="s">
        <v>56</v>
      </c>
    </row>
    <row r="10" spans="1:30" s="11" customFormat="1" ht="43.5" x14ac:dyDescent="0.35">
      <c r="A10" s="290"/>
      <c r="B10" s="290"/>
      <c r="C10" s="290"/>
      <c r="D10" s="13" t="s">
        <v>8</v>
      </c>
      <c r="E10" s="13" t="s">
        <v>9</v>
      </c>
      <c r="F10" s="13" t="s">
        <v>10</v>
      </c>
      <c r="G10" s="35" t="s">
        <v>11</v>
      </c>
      <c r="H10" s="35" t="s">
        <v>0</v>
      </c>
      <c r="I10" s="35" t="s">
        <v>1</v>
      </c>
      <c r="J10" s="35" t="s">
        <v>2</v>
      </c>
      <c r="K10" s="35" t="s">
        <v>11</v>
      </c>
      <c r="L10" s="13" t="s">
        <v>14</v>
      </c>
      <c r="M10" s="13" t="s">
        <v>21</v>
      </c>
      <c r="N10" s="13" t="s">
        <v>14</v>
      </c>
      <c r="O10" s="13" t="s">
        <v>21</v>
      </c>
      <c r="P10" s="14" t="s">
        <v>16</v>
      </c>
      <c r="Q10" s="13" t="s">
        <v>19</v>
      </c>
      <c r="R10" s="13" t="s">
        <v>20</v>
      </c>
      <c r="S10" s="14"/>
      <c r="W10" s="11" t="s">
        <v>14</v>
      </c>
      <c r="X10" s="11" t="s">
        <v>21</v>
      </c>
      <c r="AC10" s="11" t="s">
        <v>55</v>
      </c>
      <c r="AD10" s="11" t="s">
        <v>55</v>
      </c>
    </row>
    <row r="11" spans="1:30" x14ac:dyDescent="0.35">
      <c r="A11" s="89">
        <v>1</v>
      </c>
      <c r="B11" s="82" t="s">
        <v>5</v>
      </c>
      <c r="C11" s="252">
        <v>4.6500000000000004</v>
      </c>
      <c r="D11" s="253" t="s">
        <v>92</v>
      </c>
      <c r="E11" s="253">
        <v>3</v>
      </c>
      <c r="F11" s="253" t="s">
        <v>92</v>
      </c>
      <c r="G11" s="252">
        <f>C11+E11-F11</f>
        <v>7.65</v>
      </c>
      <c r="H11" s="253">
        <v>3</v>
      </c>
      <c r="I11" s="252">
        <f>7.2-3</f>
        <v>4.2</v>
      </c>
      <c r="J11" s="252">
        <v>0.45</v>
      </c>
      <c r="K11" s="252">
        <f>SUM(H11:J11)</f>
        <v>7.65</v>
      </c>
      <c r="L11" s="252">
        <v>8265.6</v>
      </c>
      <c r="M11" s="252">
        <v>1968</v>
      </c>
      <c r="N11" s="254">
        <f>O11*I11</f>
        <v>3717</v>
      </c>
      <c r="O11" s="252">
        <v>885</v>
      </c>
      <c r="P11" s="15" t="s">
        <v>67</v>
      </c>
      <c r="Q11" s="91">
        <f>76+10</f>
        <v>86</v>
      </c>
      <c r="R11" s="7"/>
      <c r="S11" s="7"/>
      <c r="U11" s="70">
        <f>440*I11+1982*I11</f>
        <v>10172.4</v>
      </c>
      <c r="V11" s="70"/>
      <c r="W11">
        <v>4310.8560000000007</v>
      </c>
      <c r="X11">
        <v>598.73</v>
      </c>
      <c r="AC11" t="e">
        <f>CONCATENATE(#REF!,B11)</f>
        <v>#REF!</v>
      </c>
      <c r="AD11">
        <f>IF(L11="","",L11/M11)</f>
        <v>4.2</v>
      </c>
    </row>
    <row r="12" spans="1:30" x14ac:dyDescent="0.35">
      <c r="A12" s="89">
        <v>2</v>
      </c>
      <c r="B12" s="82" t="s">
        <v>25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15" t="s">
        <v>68</v>
      </c>
      <c r="Q12" s="91"/>
      <c r="R12" s="7"/>
      <c r="S12" s="7"/>
      <c r="U12" s="68"/>
      <c r="V12" s="68"/>
      <c r="AC12" t="e">
        <f>CONCATENATE(#REF!,B12)</f>
        <v>#REF!</v>
      </c>
      <c r="AD12" t="str">
        <f t="shared" ref="AD12:AD20" si="0">IF(L12="","",L12/M12)</f>
        <v/>
      </c>
    </row>
    <row r="13" spans="1:30" x14ac:dyDescent="0.35">
      <c r="A13" s="89">
        <v>3</v>
      </c>
      <c r="B13" s="82" t="s">
        <v>26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15" t="s">
        <v>68</v>
      </c>
      <c r="Q13" s="91"/>
      <c r="R13" s="7"/>
      <c r="S13" s="7"/>
      <c r="U13" s="68"/>
      <c r="V13" s="68"/>
      <c r="AC13" t="e">
        <f>CONCATENATE(#REF!,B13)</f>
        <v>#REF!</v>
      </c>
      <c r="AD13" t="str">
        <f t="shared" si="0"/>
        <v/>
      </c>
    </row>
    <row r="14" spans="1:30" x14ac:dyDescent="0.35">
      <c r="A14" s="89">
        <v>4</v>
      </c>
      <c r="B14" s="82" t="s">
        <v>27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15" t="s">
        <v>69</v>
      </c>
      <c r="Q14" s="91"/>
      <c r="R14" s="7"/>
      <c r="S14" s="7"/>
      <c r="U14" s="68"/>
      <c r="V14" s="68"/>
      <c r="AC14" t="e">
        <f>CONCATENATE(#REF!,B14)</f>
        <v>#REF!</v>
      </c>
      <c r="AD14" t="str">
        <f t="shared" si="0"/>
        <v/>
      </c>
    </row>
    <row r="15" spans="1:30" x14ac:dyDescent="0.35">
      <c r="A15" s="89">
        <v>5</v>
      </c>
      <c r="B15" s="82" t="s">
        <v>28</v>
      </c>
      <c r="C15" s="252">
        <v>12</v>
      </c>
      <c r="D15" s="253" t="s">
        <v>92</v>
      </c>
      <c r="E15" s="253" t="s">
        <v>92</v>
      </c>
      <c r="F15" s="253" t="s">
        <v>92</v>
      </c>
      <c r="G15" s="252">
        <f>C15+E15-F15</f>
        <v>12</v>
      </c>
      <c r="H15" s="253" t="s">
        <v>92</v>
      </c>
      <c r="I15" s="252">
        <v>10</v>
      </c>
      <c r="J15" s="252">
        <v>2</v>
      </c>
      <c r="K15" s="252">
        <f>SUM(H15:J15)</f>
        <v>12</v>
      </c>
      <c r="L15" s="252">
        <v>5430.4</v>
      </c>
      <c r="M15" s="252">
        <v>543.04</v>
      </c>
      <c r="N15" s="252">
        <f>O15*I15</f>
        <v>3527</v>
      </c>
      <c r="O15" s="252">
        <v>352.7</v>
      </c>
      <c r="P15" s="15" t="s">
        <v>70</v>
      </c>
      <c r="Q15" s="91">
        <f>252</f>
        <v>252</v>
      </c>
      <c r="R15" s="7"/>
      <c r="S15" s="7"/>
      <c r="U15" s="60"/>
      <c r="V15" s="60"/>
      <c r="W15">
        <v>0</v>
      </c>
      <c r="X15">
        <v>0</v>
      </c>
      <c r="AC15" t="e">
        <f>CONCATENATE(#REF!,B15)</f>
        <v>#REF!</v>
      </c>
      <c r="AD15">
        <f t="shared" si="0"/>
        <v>10</v>
      </c>
    </row>
    <row r="16" spans="1:30" x14ac:dyDescent="0.35">
      <c r="A16" s="89">
        <v>6</v>
      </c>
      <c r="B16" s="82" t="s">
        <v>29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15" t="s">
        <v>70</v>
      </c>
      <c r="Q16" s="91"/>
      <c r="R16" s="7"/>
      <c r="S16" s="7"/>
      <c r="U16" s="68"/>
      <c r="V16" s="68"/>
      <c r="AC16" t="e">
        <f>CONCATENATE(#REF!,B16)</f>
        <v>#REF!</v>
      </c>
      <c r="AD16" t="str">
        <f t="shared" si="0"/>
        <v/>
      </c>
    </row>
    <row r="17" spans="1:30" x14ac:dyDescent="0.35">
      <c r="A17" s="89">
        <v>7</v>
      </c>
      <c r="B17" s="82" t="s">
        <v>30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15" t="s">
        <v>71</v>
      </c>
      <c r="Q17" s="91"/>
      <c r="R17" s="7"/>
      <c r="S17" s="7"/>
      <c r="U17" s="68"/>
      <c r="V17" s="68"/>
      <c r="AC17" t="e">
        <f>CONCATENATE(#REF!,B17)</f>
        <v>#REF!</v>
      </c>
      <c r="AD17" t="str">
        <f t="shared" si="0"/>
        <v/>
      </c>
    </row>
    <row r="18" spans="1:30" x14ac:dyDescent="0.35">
      <c r="A18" s="89">
        <v>8</v>
      </c>
      <c r="B18" s="82" t="s">
        <v>31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15" t="s">
        <v>72</v>
      </c>
      <c r="Q18" s="91"/>
      <c r="R18" s="7"/>
      <c r="S18" s="7"/>
      <c r="U18" s="68"/>
      <c r="V18" s="68"/>
      <c r="AC18" t="e">
        <f>CONCATENATE(#REF!,B18)</f>
        <v>#REF!</v>
      </c>
      <c r="AD18" t="str">
        <f t="shared" si="0"/>
        <v/>
      </c>
    </row>
    <row r="19" spans="1:30" x14ac:dyDescent="0.35">
      <c r="A19" s="89">
        <v>9</v>
      </c>
      <c r="B19" s="82" t="s">
        <v>32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15" t="s">
        <v>72</v>
      </c>
      <c r="Q19" s="91"/>
      <c r="R19" s="7"/>
      <c r="S19" s="7"/>
      <c r="U19" s="68"/>
      <c r="V19" s="68"/>
      <c r="AC19" t="e">
        <f>CONCATENATE(#REF!,B19)</f>
        <v>#REF!</v>
      </c>
      <c r="AD19" t="str">
        <f t="shared" si="0"/>
        <v/>
      </c>
    </row>
    <row r="20" spans="1:30" x14ac:dyDescent="0.35">
      <c r="A20" s="89">
        <v>10</v>
      </c>
      <c r="B20" s="82" t="s">
        <v>33</v>
      </c>
      <c r="C20" s="252">
        <v>14.2</v>
      </c>
      <c r="D20" s="253" t="s">
        <v>92</v>
      </c>
      <c r="E20" s="253" t="s">
        <v>92</v>
      </c>
      <c r="F20" s="253" t="s">
        <v>92</v>
      </c>
      <c r="G20" s="252">
        <f>C20+E20-F20</f>
        <v>14.2</v>
      </c>
      <c r="H20" s="252">
        <f>9-0.9</f>
        <v>8.1</v>
      </c>
      <c r="I20" s="252">
        <f>4.2+0.9</f>
        <v>5.1000000000000005</v>
      </c>
      <c r="J20" s="252">
        <v>1</v>
      </c>
      <c r="K20" s="252">
        <f>SUM(H20:J20)</f>
        <v>14.2</v>
      </c>
      <c r="L20" s="252">
        <v>3074.8</v>
      </c>
      <c r="M20" s="252">
        <v>732.1</v>
      </c>
      <c r="N20" s="252">
        <f>O20*I20</f>
        <v>3886.2510000000002</v>
      </c>
      <c r="O20" s="252">
        <v>762.01</v>
      </c>
      <c r="P20" s="15" t="s">
        <v>72</v>
      </c>
      <c r="Q20" s="91">
        <f>40+2</f>
        <v>42</v>
      </c>
      <c r="R20" s="7"/>
      <c r="S20" s="7"/>
      <c r="U20" s="68"/>
      <c r="V20" s="68"/>
      <c r="W20">
        <v>818.58</v>
      </c>
      <c r="X20">
        <v>194.9</v>
      </c>
      <c r="AC20" t="e">
        <f>CONCATENATE(#REF!,B20)</f>
        <v>#REF!</v>
      </c>
      <c r="AD20">
        <f t="shared" si="0"/>
        <v>4.1999726813276874</v>
      </c>
    </row>
    <row r="21" spans="1:30" x14ac:dyDescent="0.35">
      <c r="A21" s="89">
        <v>11</v>
      </c>
      <c r="B21" s="84" t="s">
        <v>96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7"/>
      <c r="Q21" s="88"/>
      <c r="R21" s="7"/>
      <c r="S21" s="7"/>
      <c r="U21" s="68"/>
      <c r="V21" s="68"/>
      <c r="AC21" t="e">
        <f>CONCATENATE(#REF!,B22)</f>
        <v>#REF!</v>
      </c>
      <c r="AD21">
        <f t="shared" ref="AD21:AD37" si="1">IF(L22="","",L22/M22)</f>
        <v>139.99967460097946</v>
      </c>
    </row>
    <row r="22" spans="1:30" x14ac:dyDescent="0.35">
      <c r="A22" s="89">
        <v>12</v>
      </c>
      <c r="B22" s="82" t="s">
        <v>34</v>
      </c>
      <c r="C22" s="252">
        <v>318.75</v>
      </c>
      <c r="D22" s="253">
        <v>25</v>
      </c>
      <c r="E22" s="253">
        <v>50</v>
      </c>
      <c r="F22" s="253">
        <v>0.75</v>
      </c>
      <c r="G22" s="252">
        <f t="shared" ref="G22:G24" si="2">C22+E22-F22</f>
        <v>368</v>
      </c>
      <c r="H22" s="252">
        <f>189.25-18</f>
        <v>171.25</v>
      </c>
      <c r="I22" s="252">
        <f>141.75+18</f>
        <v>159.75</v>
      </c>
      <c r="J22" s="252">
        <v>37</v>
      </c>
      <c r="K22" s="252">
        <f t="shared" ref="K22:K24" si="3">SUM(H22:J22)</f>
        <v>368</v>
      </c>
      <c r="L22" s="252">
        <v>172096</v>
      </c>
      <c r="M22" s="252">
        <v>1229.26</v>
      </c>
      <c r="N22" s="252">
        <f>O22*I22</f>
        <v>206037.5625</v>
      </c>
      <c r="O22" s="252">
        <v>1289.75</v>
      </c>
      <c r="P22" s="15" t="s">
        <v>73</v>
      </c>
      <c r="Q22" s="91">
        <f>1200-798</f>
        <v>402</v>
      </c>
      <c r="R22" s="7"/>
      <c r="S22" s="7"/>
      <c r="U22" s="68"/>
      <c r="V22" s="68"/>
      <c r="W22">
        <v>54878.512499999997</v>
      </c>
      <c r="X22">
        <v>387.15</v>
      </c>
      <c r="AC22" t="e">
        <f>CONCATENATE(#REF!,B23)</f>
        <v>#REF!</v>
      </c>
      <c r="AD22">
        <f t="shared" si="1"/>
        <v>596.9990857767599</v>
      </c>
    </row>
    <row r="23" spans="1:30" x14ac:dyDescent="0.35">
      <c r="A23" s="89">
        <v>13</v>
      </c>
      <c r="B23" s="82" t="s">
        <v>35</v>
      </c>
      <c r="C23" s="252">
        <v>1304</v>
      </c>
      <c r="D23" s="253" t="s">
        <v>92</v>
      </c>
      <c r="E23" s="253" t="s">
        <v>92</v>
      </c>
      <c r="F23" s="253" t="s">
        <v>92</v>
      </c>
      <c r="G23" s="252">
        <f t="shared" si="2"/>
        <v>1304</v>
      </c>
      <c r="H23" s="252">
        <f>134-13</f>
        <v>121</v>
      </c>
      <c r="I23" s="252">
        <f>597+13</f>
        <v>610</v>
      </c>
      <c r="J23" s="252">
        <v>573</v>
      </c>
      <c r="K23" s="252">
        <f t="shared" si="3"/>
        <v>1304</v>
      </c>
      <c r="L23" s="252">
        <v>633422</v>
      </c>
      <c r="M23" s="252">
        <v>1061.01</v>
      </c>
      <c r="N23" s="252">
        <f>O23*I23</f>
        <v>709064</v>
      </c>
      <c r="O23" s="252">
        <v>1162.4000000000001</v>
      </c>
      <c r="P23" s="15" t="s">
        <v>74</v>
      </c>
      <c r="Q23" s="91">
        <f>715+3000</f>
        <v>3715</v>
      </c>
      <c r="R23" s="7"/>
      <c r="S23" s="7"/>
      <c r="U23" s="71">
        <f>L23/I23</f>
        <v>1038.3967213114754</v>
      </c>
      <c r="V23" s="71"/>
      <c r="W23">
        <v>169130.1</v>
      </c>
      <c r="X23">
        <v>283.3</v>
      </c>
      <c r="AC23" t="e">
        <f>CONCATENATE(#REF!,B24)</f>
        <v>#REF!</v>
      </c>
      <c r="AD23">
        <f t="shared" si="1"/>
        <v>139.50000000000003</v>
      </c>
    </row>
    <row r="24" spans="1:30" x14ac:dyDescent="0.35">
      <c r="A24" s="89">
        <v>14</v>
      </c>
      <c r="B24" s="82" t="s">
        <v>36</v>
      </c>
      <c r="C24" s="252">
        <v>386.9</v>
      </c>
      <c r="D24" s="253" t="s">
        <v>92</v>
      </c>
      <c r="E24" s="253" t="s">
        <v>92</v>
      </c>
      <c r="F24" s="253" t="s">
        <v>92</v>
      </c>
      <c r="G24" s="252">
        <f t="shared" si="2"/>
        <v>386.9</v>
      </c>
      <c r="H24" s="253">
        <v>0</v>
      </c>
      <c r="I24" s="252">
        <v>368.9</v>
      </c>
      <c r="J24" s="252">
        <v>18</v>
      </c>
      <c r="K24" s="252">
        <f t="shared" si="3"/>
        <v>386.9</v>
      </c>
      <c r="L24" s="95">
        <v>1365119.1</v>
      </c>
      <c r="M24" s="252">
        <v>9785.7999999999993</v>
      </c>
      <c r="N24" s="252">
        <f>O24*I24</f>
        <v>3449244.5119999996</v>
      </c>
      <c r="O24" s="252">
        <v>9350.08</v>
      </c>
      <c r="P24" s="15" t="s">
        <v>75</v>
      </c>
      <c r="Q24" s="91">
        <f>1133-400</f>
        <v>733</v>
      </c>
      <c r="R24" s="7"/>
      <c r="S24" s="7"/>
      <c r="U24" s="68"/>
      <c r="V24" s="68"/>
      <c r="W24">
        <v>824491.5</v>
      </c>
      <c r="X24">
        <v>2235</v>
      </c>
      <c r="AC24" t="e">
        <f>CONCATENATE(#REF!,B25)</f>
        <v>#REF!</v>
      </c>
      <c r="AD24" t="str">
        <f t="shared" si="1"/>
        <v/>
      </c>
    </row>
    <row r="25" spans="1:30" x14ac:dyDescent="0.35">
      <c r="A25" s="89">
        <v>15</v>
      </c>
      <c r="B25" s="82" t="s">
        <v>37</v>
      </c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15" t="s">
        <v>74</v>
      </c>
      <c r="Q25" s="91"/>
      <c r="R25" s="7"/>
      <c r="S25" s="7"/>
      <c r="U25" s="68"/>
      <c r="V25" s="68"/>
      <c r="AC25" t="e">
        <f>CONCATENATE(#REF!,B26)</f>
        <v>#REF!</v>
      </c>
      <c r="AD25" t="str">
        <f t="shared" si="1"/>
        <v/>
      </c>
    </row>
    <row r="26" spans="1:30" x14ac:dyDescent="0.35">
      <c r="A26" s="89">
        <v>16</v>
      </c>
      <c r="B26" s="82" t="s">
        <v>38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15" t="s">
        <v>76</v>
      </c>
      <c r="Q26" s="91"/>
      <c r="R26" s="7"/>
      <c r="S26" s="7"/>
      <c r="AC26" t="e">
        <f>CONCATENATE(#REF!,B27)</f>
        <v>#REF!</v>
      </c>
      <c r="AD26" t="str">
        <f t="shared" si="1"/>
        <v/>
      </c>
    </row>
    <row r="27" spans="1:30" x14ac:dyDescent="0.35">
      <c r="A27" s="89">
        <v>17</v>
      </c>
      <c r="B27" s="82" t="s">
        <v>39</v>
      </c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15" t="s">
        <v>77</v>
      </c>
      <c r="Q27" s="91"/>
      <c r="R27" s="7"/>
      <c r="S27" s="7"/>
      <c r="AC27" t="e">
        <f>CONCATENATE(#REF!,B28)</f>
        <v>#REF!</v>
      </c>
      <c r="AD27" t="str">
        <f t="shared" si="1"/>
        <v/>
      </c>
    </row>
    <row r="28" spans="1:30" x14ac:dyDescent="0.35">
      <c r="A28" s="89">
        <v>18</v>
      </c>
      <c r="B28" s="82" t="s">
        <v>40</v>
      </c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15" t="s">
        <v>78</v>
      </c>
      <c r="Q28" s="91"/>
      <c r="R28" s="7"/>
      <c r="S28" s="7"/>
      <c r="AC28" t="e">
        <f>CONCATENATE(#REF!,B29)</f>
        <v>#REF!</v>
      </c>
      <c r="AD28" t="str">
        <f t="shared" si="1"/>
        <v/>
      </c>
    </row>
    <row r="29" spans="1:30" x14ac:dyDescent="0.35">
      <c r="A29" s="89">
        <v>19</v>
      </c>
      <c r="B29" s="82" t="s">
        <v>41</v>
      </c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15" t="s">
        <v>79</v>
      </c>
      <c r="Q29" s="91"/>
      <c r="R29" s="7"/>
      <c r="S29" s="7"/>
      <c r="AC29" t="e">
        <f>CONCATENATE(#REF!,B30)</f>
        <v>#REF!</v>
      </c>
      <c r="AD29" t="str">
        <f t="shared" si="1"/>
        <v/>
      </c>
    </row>
    <row r="30" spans="1:30" x14ac:dyDescent="0.35">
      <c r="A30" s="89">
        <v>20</v>
      </c>
      <c r="B30" s="82" t="s">
        <v>42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15" t="s">
        <v>80</v>
      </c>
      <c r="Q30" s="91"/>
      <c r="R30" s="7"/>
      <c r="S30" s="7"/>
      <c r="AC30" t="e">
        <f>CONCATENATE(#REF!,B31)</f>
        <v>#REF!</v>
      </c>
      <c r="AD30" t="str">
        <f t="shared" si="1"/>
        <v/>
      </c>
    </row>
    <row r="31" spans="1:30" x14ac:dyDescent="0.35">
      <c r="A31" s="89">
        <v>21</v>
      </c>
      <c r="B31" s="82" t="s">
        <v>43</v>
      </c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15" t="s">
        <v>69</v>
      </c>
      <c r="Q31" s="91"/>
      <c r="R31" s="7"/>
      <c r="S31" s="7"/>
      <c r="AC31" t="e">
        <f>CONCATENATE(#REF!,B32)</f>
        <v>#REF!</v>
      </c>
      <c r="AD31" t="str">
        <f t="shared" si="1"/>
        <v/>
      </c>
    </row>
    <row r="32" spans="1:30" x14ac:dyDescent="0.35">
      <c r="A32" s="89">
        <v>22</v>
      </c>
      <c r="B32" s="82" t="s">
        <v>44</v>
      </c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15" t="s">
        <v>81</v>
      </c>
      <c r="Q32" s="91"/>
      <c r="R32" s="7"/>
      <c r="S32" s="7"/>
      <c r="AC32" t="e">
        <f>CONCATENATE(#REF!,B33)</f>
        <v>#REF!</v>
      </c>
      <c r="AD32">
        <f t="shared" si="1"/>
        <v>6</v>
      </c>
    </row>
    <row r="33" spans="1:30" x14ac:dyDescent="0.35">
      <c r="A33" s="89">
        <v>23</v>
      </c>
      <c r="B33" s="82" t="s">
        <v>45</v>
      </c>
      <c r="C33" s="252">
        <v>8.5</v>
      </c>
      <c r="D33" s="253" t="s">
        <v>92</v>
      </c>
      <c r="E33" s="253" t="s">
        <v>92</v>
      </c>
      <c r="F33" s="253" t="s">
        <v>92</v>
      </c>
      <c r="G33" s="252">
        <f t="shared" ref="G33:G34" si="4">C33+E33-F33</f>
        <v>8.5</v>
      </c>
      <c r="H33" s="252">
        <v>1.5</v>
      </c>
      <c r="I33" s="252">
        <f>6.5-0.5</f>
        <v>6</v>
      </c>
      <c r="J33" s="252">
        <f>0.5+0.5</f>
        <v>1</v>
      </c>
      <c r="K33" s="252">
        <f t="shared" ref="K33:K34" si="5">SUM(H33:J33)</f>
        <v>8.5</v>
      </c>
      <c r="L33" s="95">
        <v>1902</v>
      </c>
      <c r="M33" s="252">
        <v>317</v>
      </c>
      <c r="N33" s="252">
        <f>O33*I33</f>
        <v>2130</v>
      </c>
      <c r="O33" s="252">
        <v>355</v>
      </c>
      <c r="P33" s="15" t="s">
        <v>81</v>
      </c>
      <c r="Q33" s="91">
        <v>30</v>
      </c>
      <c r="R33" s="7"/>
      <c r="S33" s="7"/>
      <c r="W33">
        <v>0</v>
      </c>
      <c r="X33">
        <v>0</v>
      </c>
      <c r="AC33" t="e">
        <f>CONCATENATE(#REF!,B34)</f>
        <v>#REF!</v>
      </c>
      <c r="AD33">
        <f t="shared" si="1"/>
        <v>2</v>
      </c>
    </row>
    <row r="34" spans="1:30" x14ac:dyDescent="0.35">
      <c r="A34" s="89">
        <v>24</v>
      </c>
      <c r="B34" s="82" t="s">
        <v>46</v>
      </c>
      <c r="C34" s="252">
        <v>5.5</v>
      </c>
      <c r="D34" s="253" t="s">
        <v>92</v>
      </c>
      <c r="E34" s="252">
        <v>2.8</v>
      </c>
      <c r="F34" s="253" t="s">
        <v>92</v>
      </c>
      <c r="G34" s="252">
        <f t="shared" si="4"/>
        <v>8.3000000000000007</v>
      </c>
      <c r="H34" s="252">
        <f>2.5+0.2</f>
        <v>2.7</v>
      </c>
      <c r="I34" s="252">
        <v>5.0999999999999996</v>
      </c>
      <c r="J34" s="252">
        <v>0.5</v>
      </c>
      <c r="K34" s="252">
        <f t="shared" si="5"/>
        <v>8.3000000000000007</v>
      </c>
      <c r="L34" s="95">
        <v>854</v>
      </c>
      <c r="M34" s="252">
        <v>427</v>
      </c>
      <c r="N34" s="252">
        <f>O34*J34</f>
        <v>289.065</v>
      </c>
      <c r="O34" s="252">
        <v>578.13</v>
      </c>
      <c r="P34" s="15" t="s">
        <v>72</v>
      </c>
      <c r="Q34" s="91">
        <f>103-40</f>
        <v>63</v>
      </c>
      <c r="R34" s="7"/>
      <c r="S34" s="7"/>
      <c r="W34">
        <v>0</v>
      </c>
      <c r="X34">
        <v>0</v>
      </c>
      <c r="AC34" t="e">
        <f>CONCATENATE(#REF!,B35)</f>
        <v>#REF!</v>
      </c>
      <c r="AD34" t="str">
        <f t="shared" si="1"/>
        <v/>
      </c>
    </row>
    <row r="35" spans="1:30" x14ac:dyDescent="0.35">
      <c r="A35" s="89">
        <v>25</v>
      </c>
      <c r="B35" s="82" t="s">
        <v>47</v>
      </c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15" t="s">
        <v>75</v>
      </c>
      <c r="Q35" s="91"/>
      <c r="R35" s="7"/>
      <c r="S35" s="7"/>
      <c r="AC35" t="e">
        <f>CONCATENATE(#REF!,B36)</f>
        <v>#REF!</v>
      </c>
      <c r="AD35" t="str">
        <f t="shared" si="1"/>
        <v/>
      </c>
    </row>
    <row r="36" spans="1:30" x14ac:dyDescent="0.35">
      <c r="A36" s="89">
        <v>26</v>
      </c>
      <c r="B36" s="82" t="s">
        <v>48</v>
      </c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15" t="s">
        <v>72</v>
      </c>
      <c r="Q36" s="91"/>
      <c r="R36" s="7"/>
      <c r="S36" s="7"/>
      <c r="AC36" t="e">
        <f>CONCATENATE(#REF!,B37)</f>
        <v>#REF!</v>
      </c>
      <c r="AD36" t="str">
        <f t="shared" si="1"/>
        <v/>
      </c>
    </row>
    <row r="37" spans="1:30" x14ac:dyDescent="0.35">
      <c r="A37" s="89">
        <v>27</v>
      </c>
      <c r="B37" s="82" t="s">
        <v>49</v>
      </c>
      <c r="C37" s="98"/>
      <c r="D37" s="98"/>
      <c r="E37" s="98"/>
      <c r="F37" s="98"/>
      <c r="G37" s="90"/>
      <c r="H37" s="90"/>
      <c r="I37" s="90"/>
      <c r="J37" s="90"/>
      <c r="K37" s="90"/>
      <c r="L37" s="98"/>
      <c r="M37" s="98"/>
      <c r="N37" s="98"/>
      <c r="O37" s="98"/>
      <c r="P37" s="15" t="s">
        <v>84</v>
      </c>
      <c r="Q37" s="91"/>
      <c r="R37" s="7"/>
      <c r="S37" s="7"/>
      <c r="AC37" t="e">
        <f>CONCATENATE(#REF!,B38)</f>
        <v>#REF!</v>
      </c>
      <c r="AD37" t="str">
        <f t="shared" si="1"/>
        <v/>
      </c>
    </row>
    <row r="38" spans="1:30" x14ac:dyDescent="0.35">
      <c r="A38" s="89">
        <v>28</v>
      </c>
      <c r="B38" s="82" t="s">
        <v>50</v>
      </c>
      <c r="C38" s="82"/>
      <c r="D38" s="82"/>
      <c r="E38" s="82"/>
      <c r="F38" s="82"/>
      <c r="G38" s="83"/>
      <c r="H38" s="83"/>
      <c r="I38" s="83"/>
      <c r="J38" s="83"/>
      <c r="K38" s="83"/>
      <c r="L38" s="82"/>
      <c r="M38" s="82"/>
      <c r="N38" s="82"/>
      <c r="O38" s="82"/>
      <c r="P38" s="15" t="s">
        <v>77</v>
      </c>
      <c r="Q38" s="88"/>
      <c r="R38" s="7"/>
      <c r="S38" s="7"/>
      <c r="AC38" t="e">
        <f>CONCATENATE(#REF!,#REF!)</f>
        <v>#REF!</v>
      </c>
    </row>
    <row r="39" spans="1:30" x14ac:dyDescent="0.35">
      <c r="A39" s="89">
        <v>29</v>
      </c>
      <c r="B39" s="82" t="s">
        <v>51</v>
      </c>
      <c r="C39" s="82"/>
      <c r="D39" s="82"/>
      <c r="E39" s="82"/>
      <c r="F39" s="82"/>
      <c r="G39" s="83"/>
      <c r="H39" s="83"/>
      <c r="I39" s="83"/>
      <c r="J39" s="83"/>
      <c r="K39" s="83"/>
      <c r="L39" s="82"/>
      <c r="M39" s="82"/>
      <c r="N39" s="82"/>
      <c r="O39" s="82"/>
      <c r="P39" s="15" t="s">
        <v>82</v>
      </c>
      <c r="Q39" s="88"/>
      <c r="R39" s="7"/>
      <c r="S39" s="7"/>
      <c r="AC39" t="e">
        <f>CONCATENATE(#REF!,B40)</f>
        <v>#REF!</v>
      </c>
      <c r="AD39" t="str">
        <f>IF(L40="","",L40/M40)</f>
        <v/>
      </c>
    </row>
    <row r="40" spans="1:30" x14ac:dyDescent="0.35">
      <c r="A40" s="3">
        <v>30</v>
      </c>
      <c r="B40" s="7" t="s">
        <v>52</v>
      </c>
      <c r="C40" s="7"/>
      <c r="D40" s="7"/>
      <c r="E40" s="7"/>
      <c r="F40" s="7"/>
      <c r="G40" s="22"/>
      <c r="H40" s="22"/>
      <c r="I40" s="22"/>
      <c r="J40" s="22"/>
      <c r="K40" s="22"/>
      <c r="L40" s="7"/>
      <c r="M40" s="7"/>
      <c r="N40" s="7"/>
      <c r="O40" s="7"/>
      <c r="P40" s="15" t="s">
        <v>83</v>
      </c>
      <c r="Q40" s="88"/>
      <c r="R40" s="7"/>
      <c r="S40" s="7"/>
    </row>
    <row r="41" spans="1:30" x14ac:dyDescent="0.35">
      <c r="Q41" s="99"/>
    </row>
    <row r="42" spans="1:30" x14ac:dyDescent="0.35">
      <c r="C42" s="263" t="s">
        <v>111</v>
      </c>
      <c r="D42" s="263"/>
    </row>
    <row r="43" spans="1:30" x14ac:dyDescent="0.35">
      <c r="C43" s="263" t="s">
        <v>112</v>
      </c>
      <c r="D43" s="263"/>
      <c r="P43" s="263" t="s">
        <v>110</v>
      </c>
      <c r="Q43" s="263"/>
      <c r="R43" s="263"/>
    </row>
    <row r="44" spans="1:30" x14ac:dyDescent="0.35">
      <c r="C44" s="68"/>
      <c r="D44" s="68"/>
      <c r="P44" s="68"/>
      <c r="Q44" s="68"/>
      <c r="R44" s="68"/>
    </row>
    <row r="45" spans="1:30" x14ac:dyDescent="0.35">
      <c r="C45" s="68"/>
      <c r="D45" s="68"/>
      <c r="P45" s="68"/>
      <c r="Q45" s="68"/>
      <c r="R45" s="68"/>
    </row>
    <row r="46" spans="1:30" x14ac:dyDescent="0.35">
      <c r="C46" s="292" t="s">
        <v>124</v>
      </c>
      <c r="D46" s="292"/>
      <c r="P46" s="292" t="s">
        <v>126</v>
      </c>
      <c r="Q46" s="292"/>
      <c r="R46" s="292"/>
    </row>
    <row r="47" spans="1:30" x14ac:dyDescent="0.35">
      <c r="C47" s="263" t="s">
        <v>125</v>
      </c>
      <c r="D47" s="263"/>
      <c r="P47" s="262"/>
      <c r="Q47" s="262"/>
      <c r="R47" s="262"/>
    </row>
  </sheetData>
  <mergeCells count="18">
    <mergeCell ref="C42:D42"/>
    <mergeCell ref="C43:D43"/>
    <mergeCell ref="C46:D46"/>
    <mergeCell ref="C47:D47"/>
    <mergeCell ref="P43:R43"/>
    <mergeCell ref="P46:R46"/>
    <mergeCell ref="P47:R47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5" right="0.5" top="0.31496062992126" bottom="0.27559055118110198" header="0.23622047244094499" footer="0.15748031496063"/>
  <pageSetup paperSize="5" scale="75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D48"/>
  <sheetViews>
    <sheetView topLeftCell="A8" zoomScale="90" zoomScaleNormal="90" workbookViewId="0">
      <selection activeCell="U17" sqref="U17"/>
    </sheetView>
  </sheetViews>
  <sheetFormatPr defaultRowHeight="14.5" x14ac:dyDescent="0.35"/>
  <cols>
    <col min="1" max="1" width="5.7265625" customWidth="1"/>
    <col min="2" max="2" width="19.453125" customWidth="1"/>
    <col min="3" max="3" width="11.7265625" customWidth="1"/>
    <col min="4" max="4" width="8.81640625" customWidth="1"/>
    <col min="5" max="5" width="9.54296875" customWidth="1"/>
    <col min="6" max="6" width="9" customWidth="1"/>
    <col min="7" max="7" width="8.54296875" style="32" customWidth="1"/>
    <col min="8" max="8" width="9.453125" style="32" customWidth="1"/>
    <col min="9" max="9" width="8.54296875" style="32" customWidth="1"/>
    <col min="10" max="10" width="8.1796875" style="32" customWidth="1"/>
    <col min="11" max="11" width="9.26953125" style="32" customWidth="1"/>
    <col min="12" max="12" width="12.453125" customWidth="1"/>
    <col min="13" max="13" width="10.54296875" customWidth="1"/>
    <col min="14" max="14" width="13.26953125" customWidth="1"/>
    <col min="15" max="15" width="11.1796875" customWidth="1"/>
    <col min="16" max="16" width="15.453125" customWidth="1"/>
    <col min="17" max="17" width="9.81640625" customWidth="1"/>
    <col min="18" max="18" width="8.26953125" customWidth="1"/>
    <col min="19" max="19" width="5.54296875" customWidth="1"/>
    <col min="20" max="20" width="10.54296875" customWidth="1"/>
    <col min="22" max="22" width="10" bestFit="1" customWidth="1"/>
    <col min="23" max="23" width="12" bestFit="1" customWidth="1"/>
    <col min="29" max="30" width="9.1796875" hidden="1" customWidth="1"/>
  </cols>
  <sheetData>
    <row r="1" spans="1:30" x14ac:dyDescent="0.35">
      <c r="A1" s="1" t="s">
        <v>57</v>
      </c>
      <c r="G1" s="30"/>
      <c r="H1" s="30"/>
      <c r="I1" s="30"/>
      <c r="J1" s="30"/>
      <c r="K1" s="30"/>
    </row>
    <row r="2" spans="1:30" x14ac:dyDescent="0.35">
      <c r="A2" s="2"/>
      <c r="G2" s="30"/>
      <c r="H2" s="30"/>
      <c r="I2" s="30"/>
      <c r="J2" s="30"/>
      <c r="K2" s="30"/>
    </row>
    <row r="3" spans="1:30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113"/>
    </row>
    <row r="4" spans="1:30" x14ac:dyDescent="0.35">
      <c r="A4" s="1"/>
      <c r="G4" s="30"/>
      <c r="H4" s="30"/>
      <c r="I4" s="30"/>
      <c r="J4" s="30"/>
      <c r="K4" s="30"/>
      <c r="R4" s="5"/>
      <c r="S4" s="6"/>
      <c r="T4" s="6"/>
    </row>
    <row r="5" spans="1:30" x14ac:dyDescent="0.35">
      <c r="A5" s="153" t="s">
        <v>175</v>
      </c>
      <c r="B5" s="151"/>
      <c r="C5" s="151" t="s">
        <v>187</v>
      </c>
      <c r="D5" s="151"/>
      <c r="E5" s="151"/>
      <c r="F5" s="151"/>
      <c r="G5" s="154"/>
      <c r="H5" s="154"/>
      <c r="I5" s="154"/>
      <c r="J5" s="154"/>
      <c r="K5" s="154"/>
      <c r="L5" s="151"/>
      <c r="M5" s="151"/>
      <c r="N5" s="151"/>
      <c r="O5" s="151"/>
      <c r="P5" s="151"/>
      <c r="Q5" s="151" t="s">
        <v>181</v>
      </c>
      <c r="R5" s="153" t="s">
        <v>182</v>
      </c>
      <c r="S5" s="151"/>
    </row>
    <row r="6" spans="1:30" x14ac:dyDescent="0.35">
      <c r="A6" s="153" t="s">
        <v>176</v>
      </c>
      <c r="B6" s="151"/>
      <c r="C6" s="151" t="s">
        <v>172</v>
      </c>
      <c r="D6" s="212"/>
      <c r="E6" s="151"/>
      <c r="F6" s="151"/>
      <c r="G6" s="154"/>
      <c r="H6" s="154"/>
      <c r="I6" s="154"/>
      <c r="J6" s="154"/>
      <c r="K6" s="154"/>
      <c r="L6" s="213"/>
      <c r="M6" s="151"/>
      <c r="N6" s="173"/>
      <c r="O6" s="151"/>
      <c r="P6" s="151"/>
      <c r="Q6" s="151" t="s">
        <v>180</v>
      </c>
      <c r="R6" s="153" t="s">
        <v>203</v>
      </c>
      <c r="S6" s="151"/>
    </row>
    <row r="7" spans="1:30" x14ac:dyDescent="0.35">
      <c r="A7" s="153" t="s">
        <v>177</v>
      </c>
      <c r="B7" s="151"/>
      <c r="C7" s="151" t="s">
        <v>174</v>
      </c>
      <c r="D7" s="151"/>
      <c r="E7" s="151"/>
      <c r="F7" s="151"/>
      <c r="G7" s="154"/>
      <c r="H7" s="154"/>
      <c r="I7" s="154"/>
      <c r="J7" s="154"/>
      <c r="K7" s="154"/>
      <c r="L7" s="151"/>
      <c r="M7" s="151"/>
      <c r="N7" s="214"/>
      <c r="O7" s="151"/>
      <c r="P7" s="151"/>
      <c r="Q7" s="151"/>
      <c r="R7" s="151"/>
      <c r="S7" s="151"/>
    </row>
    <row r="8" spans="1:30" s="11" customFormat="1" x14ac:dyDescent="0.35">
      <c r="A8" s="300" t="s">
        <v>3</v>
      </c>
      <c r="B8" s="300" t="s">
        <v>4</v>
      </c>
      <c r="C8" s="300" t="s">
        <v>23</v>
      </c>
      <c r="D8" s="300" t="s">
        <v>6</v>
      </c>
      <c r="E8" s="300"/>
      <c r="F8" s="300"/>
      <c r="G8" s="300"/>
      <c r="H8" s="300"/>
      <c r="I8" s="300"/>
      <c r="J8" s="300"/>
      <c r="K8" s="300"/>
      <c r="L8" s="300" t="s">
        <v>22</v>
      </c>
      <c r="M8" s="300"/>
      <c r="N8" s="300"/>
      <c r="O8" s="300"/>
      <c r="P8" s="301" t="s">
        <v>16</v>
      </c>
      <c r="Q8" s="303" t="s">
        <v>17</v>
      </c>
      <c r="R8" s="304"/>
      <c r="S8" s="301" t="s">
        <v>104</v>
      </c>
      <c r="AC8" s="11" t="s">
        <v>54</v>
      </c>
      <c r="AD8" s="11" t="s">
        <v>54</v>
      </c>
    </row>
    <row r="9" spans="1:30" s="11" customFormat="1" ht="27" customHeight="1" x14ac:dyDescent="0.35">
      <c r="A9" s="300"/>
      <c r="B9" s="300"/>
      <c r="C9" s="300"/>
      <c r="D9" s="301" t="s">
        <v>7</v>
      </c>
      <c r="E9" s="301"/>
      <c r="F9" s="301"/>
      <c r="G9" s="301"/>
      <c r="H9" s="302" t="s">
        <v>12</v>
      </c>
      <c r="I9" s="302"/>
      <c r="J9" s="302"/>
      <c r="K9" s="302"/>
      <c r="L9" s="301" t="s">
        <v>13</v>
      </c>
      <c r="M9" s="301"/>
      <c r="N9" s="301" t="s">
        <v>15</v>
      </c>
      <c r="O9" s="301"/>
      <c r="P9" s="307"/>
      <c r="Q9" s="305"/>
      <c r="R9" s="306"/>
      <c r="S9" s="307"/>
      <c r="T9" s="114"/>
      <c r="V9" s="11" t="s">
        <v>15</v>
      </c>
      <c r="AC9" s="11" t="s">
        <v>56</v>
      </c>
      <c r="AD9" s="11" t="s">
        <v>56</v>
      </c>
    </row>
    <row r="10" spans="1:30" s="11" customFormat="1" ht="29" x14ac:dyDescent="0.35">
      <c r="A10" s="300"/>
      <c r="B10" s="300"/>
      <c r="C10" s="300"/>
      <c r="D10" s="215" t="s">
        <v>8</v>
      </c>
      <c r="E10" s="215" t="s">
        <v>9</v>
      </c>
      <c r="F10" s="215" t="s">
        <v>10</v>
      </c>
      <c r="G10" s="216" t="s">
        <v>11</v>
      </c>
      <c r="H10" s="216" t="s">
        <v>0</v>
      </c>
      <c r="I10" s="216" t="s">
        <v>1</v>
      </c>
      <c r="J10" s="216" t="s">
        <v>2</v>
      </c>
      <c r="K10" s="216" t="s">
        <v>11</v>
      </c>
      <c r="L10" s="215" t="s">
        <v>14</v>
      </c>
      <c r="M10" s="215" t="s">
        <v>21</v>
      </c>
      <c r="N10" s="215" t="s">
        <v>14</v>
      </c>
      <c r="O10" s="215" t="s">
        <v>21</v>
      </c>
      <c r="P10" s="308"/>
      <c r="Q10" s="215" t="s">
        <v>19</v>
      </c>
      <c r="R10" s="215" t="s">
        <v>20</v>
      </c>
      <c r="S10" s="308"/>
      <c r="T10" s="114"/>
      <c r="V10" s="11" t="s">
        <v>14</v>
      </c>
      <c r="W10" s="11" t="s">
        <v>21</v>
      </c>
      <c r="AC10" s="11" t="s">
        <v>55</v>
      </c>
      <c r="AD10" s="11" t="s">
        <v>55</v>
      </c>
    </row>
    <row r="11" spans="1:30" x14ac:dyDescent="0.35">
      <c r="A11" s="162">
        <v>1</v>
      </c>
      <c r="B11" s="163" t="s">
        <v>5</v>
      </c>
      <c r="C11" s="163">
        <v>2.5</v>
      </c>
      <c r="D11" s="217" t="s">
        <v>92</v>
      </c>
      <c r="E11" s="217" t="s">
        <v>92</v>
      </c>
      <c r="F11" s="217" t="s">
        <v>92</v>
      </c>
      <c r="G11" s="180">
        <f>C11+E11-F11</f>
        <v>2.5</v>
      </c>
      <c r="H11" s="180">
        <v>1</v>
      </c>
      <c r="I11" s="180">
        <v>1.5</v>
      </c>
      <c r="J11" s="218">
        <v>0</v>
      </c>
      <c r="K11" s="180">
        <f>SUM(H11:J11)</f>
        <v>2.5</v>
      </c>
      <c r="L11" s="219">
        <v>2527.5</v>
      </c>
      <c r="M11" s="220">
        <f>L11/I11</f>
        <v>1685</v>
      </c>
      <c r="N11" s="221">
        <f>O11*I11</f>
        <v>1053.57</v>
      </c>
      <c r="O11" s="180">
        <v>702.38</v>
      </c>
      <c r="P11" s="163" t="s">
        <v>67</v>
      </c>
      <c r="Q11" s="163">
        <v>79</v>
      </c>
      <c r="R11" s="163"/>
      <c r="S11" s="163"/>
      <c r="V11">
        <v>753.56999999999994</v>
      </c>
      <c r="W11">
        <v>502.38</v>
      </c>
    </row>
    <row r="12" spans="1:30" x14ac:dyDescent="0.35">
      <c r="A12" s="162">
        <v>2</v>
      </c>
      <c r="B12" s="163" t="s">
        <v>25</v>
      </c>
      <c r="C12" s="163"/>
      <c r="D12" s="163"/>
      <c r="E12" s="163"/>
      <c r="F12" s="163"/>
      <c r="G12" s="180"/>
      <c r="H12" s="180"/>
      <c r="I12" s="180"/>
      <c r="J12" s="180"/>
      <c r="K12" s="180"/>
      <c r="L12" s="163"/>
      <c r="M12" s="163"/>
      <c r="N12" s="163"/>
      <c r="O12" s="163"/>
      <c r="P12" s="163" t="s">
        <v>68</v>
      </c>
      <c r="Q12" s="163"/>
      <c r="R12" s="163"/>
      <c r="S12" s="163"/>
    </row>
    <row r="13" spans="1:30" x14ac:dyDescent="0.35">
      <c r="A13" s="162">
        <v>3</v>
      </c>
      <c r="B13" s="163" t="s">
        <v>26</v>
      </c>
      <c r="C13" s="163"/>
      <c r="D13" s="163"/>
      <c r="E13" s="163"/>
      <c r="F13" s="163"/>
      <c r="G13" s="180"/>
      <c r="H13" s="180"/>
      <c r="I13" s="180"/>
      <c r="J13" s="180"/>
      <c r="K13" s="180"/>
      <c r="L13" s="163"/>
      <c r="M13" s="163"/>
      <c r="N13" s="163"/>
      <c r="O13" s="163"/>
      <c r="P13" s="163" t="s">
        <v>68</v>
      </c>
      <c r="Q13" s="163"/>
      <c r="R13" s="163"/>
      <c r="S13" s="163"/>
    </row>
    <row r="14" spans="1:30" x14ac:dyDescent="0.35">
      <c r="A14" s="162">
        <v>4</v>
      </c>
      <c r="B14" s="163" t="s">
        <v>27</v>
      </c>
      <c r="C14" s="163"/>
      <c r="D14" s="163"/>
      <c r="E14" s="163"/>
      <c r="F14" s="163"/>
      <c r="G14" s="180"/>
      <c r="H14" s="180"/>
      <c r="I14" s="180"/>
      <c r="J14" s="180"/>
      <c r="K14" s="180"/>
      <c r="L14" s="163"/>
      <c r="M14" s="163"/>
      <c r="N14" s="163"/>
      <c r="O14" s="163"/>
      <c r="P14" s="163" t="s">
        <v>69</v>
      </c>
      <c r="Q14" s="163"/>
      <c r="R14" s="163"/>
      <c r="S14" s="163"/>
    </row>
    <row r="15" spans="1:30" x14ac:dyDescent="0.35">
      <c r="A15" s="162">
        <v>5</v>
      </c>
      <c r="B15" s="163" t="s">
        <v>28</v>
      </c>
      <c r="C15" s="163">
        <v>22.5</v>
      </c>
      <c r="D15" s="217" t="s">
        <v>92</v>
      </c>
      <c r="E15" s="217">
        <v>0</v>
      </c>
      <c r="F15" s="217" t="s">
        <v>92</v>
      </c>
      <c r="G15" s="180">
        <f>C15+E15-F15</f>
        <v>22.5</v>
      </c>
      <c r="H15" s="180">
        <f>17-2</f>
        <v>15</v>
      </c>
      <c r="I15" s="180">
        <f>2.5+2</f>
        <v>4.5</v>
      </c>
      <c r="J15" s="180">
        <v>3</v>
      </c>
      <c r="K15" s="180">
        <f>SUM(H15:J15)</f>
        <v>22.5</v>
      </c>
      <c r="L15" s="163">
        <v>1385.35</v>
      </c>
      <c r="M15" s="163">
        <v>554.14</v>
      </c>
      <c r="N15" s="222">
        <f>O15*I15</f>
        <v>1260.9900000000002</v>
      </c>
      <c r="O15" s="217">
        <v>280.22000000000003</v>
      </c>
      <c r="P15" s="163" t="s">
        <v>70</v>
      </c>
      <c r="Q15" s="223">
        <v>698</v>
      </c>
      <c r="R15" s="163"/>
      <c r="S15" s="163"/>
      <c r="V15" s="28">
        <v>0</v>
      </c>
      <c r="W15">
        <v>0</v>
      </c>
    </row>
    <row r="16" spans="1:30" x14ac:dyDescent="0.35">
      <c r="A16" s="162">
        <v>6</v>
      </c>
      <c r="B16" s="163" t="s">
        <v>29</v>
      </c>
      <c r="C16" s="163"/>
      <c r="D16" s="163"/>
      <c r="E16" s="163"/>
      <c r="F16" s="163"/>
      <c r="G16" s="180"/>
      <c r="H16" s="180"/>
      <c r="I16" s="180"/>
      <c r="J16" s="180"/>
      <c r="K16" s="180"/>
      <c r="L16" s="163"/>
      <c r="M16" s="163"/>
      <c r="N16" s="163"/>
      <c r="O16" s="163"/>
      <c r="P16" s="163" t="s">
        <v>70</v>
      </c>
      <c r="Q16" s="163"/>
      <c r="R16" s="163"/>
      <c r="S16" s="163"/>
    </row>
    <row r="17" spans="1:30" x14ac:dyDescent="0.35">
      <c r="A17" s="162">
        <v>7</v>
      </c>
      <c r="B17" s="163" t="s">
        <v>30</v>
      </c>
      <c r="C17" s="163"/>
      <c r="D17" s="163"/>
      <c r="E17" s="163"/>
      <c r="F17" s="163"/>
      <c r="G17" s="180"/>
      <c r="H17" s="180"/>
      <c r="I17" s="180"/>
      <c r="J17" s="180"/>
      <c r="K17" s="180"/>
      <c r="L17" s="163"/>
      <c r="M17" s="163"/>
      <c r="N17" s="163"/>
      <c r="O17" s="163"/>
      <c r="P17" s="163" t="s">
        <v>71</v>
      </c>
      <c r="Q17" s="163"/>
      <c r="R17" s="163"/>
      <c r="S17" s="163"/>
    </row>
    <row r="18" spans="1:30" x14ac:dyDescent="0.35">
      <c r="A18" s="162">
        <v>8</v>
      </c>
      <c r="B18" s="163" t="s">
        <v>31</v>
      </c>
      <c r="C18" s="163"/>
      <c r="D18" s="163"/>
      <c r="E18" s="163"/>
      <c r="F18" s="163"/>
      <c r="G18" s="180"/>
      <c r="H18" s="180"/>
      <c r="I18" s="180"/>
      <c r="J18" s="180"/>
      <c r="K18" s="180"/>
      <c r="L18" s="163"/>
      <c r="M18" s="163"/>
      <c r="N18" s="163"/>
      <c r="O18" s="163"/>
      <c r="P18" s="163" t="s">
        <v>72</v>
      </c>
      <c r="Q18" s="163"/>
      <c r="R18" s="163"/>
      <c r="S18" s="163"/>
    </row>
    <row r="19" spans="1:30" x14ac:dyDescent="0.35">
      <c r="A19" s="162">
        <v>9</v>
      </c>
      <c r="B19" s="163" t="s">
        <v>32</v>
      </c>
      <c r="C19" s="163"/>
      <c r="D19" s="163"/>
      <c r="E19" s="163"/>
      <c r="F19" s="163"/>
      <c r="G19" s="180"/>
      <c r="H19" s="180"/>
      <c r="I19" s="180"/>
      <c r="J19" s="180"/>
      <c r="K19" s="180"/>
      <c r="L19" s="163"/>
      <c r="M19" s="163"/>
      <c r="N19" s="163"/>
      <c r="O19" s="163"/>
      <c r="P19" s="163" t="s">
        <v>72</v>
      </c>
      <c r="Q19" s="163"/>
      <c r="R19" s="163"/>
      <c r="S19" s="163"/>
    </row>
    <row r="20" spans="1:30" x14ac:dyDescent="0.35">
      <c r="A20" s="162">
        <v>10</v>
      </c>
      <c r="B20" s="163" t="s">
        <v>33</v>
      </c>
      <c r="C20" s="163">
        <v>7.75</v>
      </c>
      <c r="D20" s="217" t="s">
        <v>92</v>
      </c>
      <c r="E20" s="217">
        <v>0</v>
      </c>
      <c r="F20" s="217" t="s">
        <v>92</v>
      </c>
      <c r="G20" s="180">
        <f>C20+E20-F20</f>
        <v>7.75</v>
      </c>
      <c r="H20" s="180">
        <v>5</v>
      </c>
      <c r="I20" s="180">
        <v>2.25</v>
      </c>
      <c r="J20" s="180">
        <f>0.5</f>
        <v>0.5</v>
      </c>
      <c r="K20" s="180">
        <f>SUM(H20:J20)</f>
        <v>7.75</v>
      </c>
      <c r="L20" s="180">
        <v>1942.46</v>
      </c>
      <c r="M20" s="163">
        <v>863.32</v>
      </c>
      <c r="N20" s="221">
        <f>O20*I20</f>
        <v>1148.5125</v>
      </c>
      <c r="O20" s="224">
        <v>510.45</v>
      </c>
      <c r="P20" s="163" t="s">
        <v>72</v>
      </c>
      <c r="Q20" s="219">
        <v>10</v>
      </c>
      <c r="R20" s="163"/>
      <c r="S20" s="163"/>
      <c r="V20">
        <v>434.25</v>
      </c>
      <c r="W20">
        <v>193</v>
      </c>
    </row>
    <row r="21" spans="1:30" x14ac:dyDescent="0.35">
      <c r="A21" s="162">
        <v>11</v>
      </c>
      <c r="B21" s="164" t="s">
        <v>96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224"/>
      <c r="P21" s="163"/>
      <c r="Q21" s="163"/>
      <c r="R21" s="163"/>
      <c r="S21" s="163"/>
      <c r="V21" s="28"/>
    </row>
    <row r="22" spans="1:30" x14ac:dyDescent="0.35">
      <c r="A22" s="162">
        <v>12</v>
      </c>
      <c r="B22" s="163" t="s">
        <v>34</v>
      </c>
      <c r="C22" s="163">
        <v>178.5</v>
      </c>
      <c r="D22" s="217" t="s">
        <v>92</v>
      </c>
      <c r="E22" s="217">
        <v>120</v>
      </c>
      <c r="F22" s="217" t="s">
        <v>92</v>
      </c>
      <c r="G22" s="180">
        <f t="shared" ref="G22:G24" si="0">C22+E22-F22</f>
        <v>298.5</v>
      </c>
      <c r="H22" s="180">
        <f>78.5-10+120</f>
        <v>188.5</v>
      </c>
      <c r="I22" s="180">
        <f>48+10</f>
        <v>58</v>
      </c>
      <c r="J22" s="180">
        <v>52</v>
      </c>
      <c r="K22" s="180">
        <f t="shared" ref="K22:K24" si="1">SUM(H22:J22)</f>
        <v>298.5</v>
      </c>
      <c r="L22" s="219">
        <v>60500</v>
      </c>
      <c r="M22" s="224">
        <v>1260</v>
      </c>
      <c r="N22" s="219">
        <f>O22*I22</f>
        <v>79358.5</v>
      </c>
      <c r="O22" s="224">
        <v>1368.25</v>
      </c>
      <c r="P22" s="163" t="s">
        <v>73</v>
      </c>
      <c r="Q22" s="219">
        <f>5+162-4</f>
        <v>163</v>
      </c>
      <c r="R22" s="163"/>
      <c r="S22" s="163"/>
      <c r="V22">
        <v>18297.599999999999</v>
      </c>
      <c r="W22">
        <v>381.2</v>
      </c>
    </row>
    <row r="23" spans="1:30" x14ac:dyDescent="0.35">
      <c r="A23" s="162">
        <v>13</v>
      </c>
      <c r="B23" s="163" t="s">
        <v>35</v>
      </c>
      <c r="C23" s="163">
        <v>998.9</v>
      </c>
      <c r="D23" s="217" t="s">
        <v>92</v>
      </c>
      <c r="E23" s="217">
        <v>0</v>
      </c>
      <c r="F23" s="217" t="s">
        <v>92</v>
      </c>
      <c r="G23" s="180">
        <f t="shared" si="0"/>
        <v>998.9</v>
      </c>
      <c r="H23" s="180">
        <f>246.9-25</f>
        <v>221.9</v>
      </c>
      <c r="I23" s="180">
        <f>475+25</f>
        <v>500</v>
      </c>
      <c r="J23" s="180">
        <f>177+100</f>
        <v>277</v>
      </c>
      <c r="K23" s="180">
        <f t="shared" si="1"/>
        <v>998.9</v>
      </c>
      <c r="L23" s="219">
        <v>491400</v>
      </c>
      <c r="M23" s="180">
        <v>1034.53</v>
      </c>
      <c r="N23" s="180">
        <f>O23*I23</f>
        <v>552875</v>
      </c>
      <c r="O23" s="224">
        <v>1105.75</v>
      </c>
      <c r="P23" s="163" t="s">
        <v>74</v>
      </c>
      <c r="Q23" s="219">
        <f>2300+600</f>
        <v>2900</v>
      </c>
      <c r="R23" s="163"/>
      <c r="S23" s="163"/>
      <c r="V23">
        <v>133380</v>
      </c>
      <c r="W23" s="26">
        <v>280.8</v>
      </c>
      <c r="AC23" t="e">
        <f>CONCATENATE(#REF!,B24)</f>
        <v>#REF!</v>
      </c>
      <c r="AD23">
        <f t="shared" ref="AD23:AD37" si="2">IF(L24="","",L24/M24)</f>
        <v>74.499999999999986</v>
      </c>
    </row>
    <row r="24" spans="1:30" x14ac:dyDescent="0.35">
      <c r="A24" s="162">
        <v>14</v>
      </c>
      <c r="B24" s="163" t="s">
        <v>36</v>
      </c>
      <c r="C24" s="163">
        <v>79.5</v>
      </c>
      <c r="D24" s="217" t="s">
        <v>92</v>
      </c>
      <c r="E24" s="217" t="s">
        <v>92</v>
      </c>
      <c r="F24" s="217" t="s">
        <v>92</v>
      </c>
      <c r="G24" s="180">
        <f t="shared" si="0"/>
        <v>79.5</v>
      </c>
      <c r="H24" s="218">
        <v>0</v>
      </c>
      <c r="I24" s="180">
        <v>74.5</v>
      </c>
      <c r="J24" s="180">
        <v>5</v>
      </c>
      <c r="K24" s="180">
        <f t="shared" si="1"/>
        <v>79.5</v>
      </c>
      <c r="L24" s="174">
        <v>661233.68999999994</v>
      </c>
      <c r="M24" s="225">
        <v>8875.6200000000008</v>
      </c>
      <c r="N24" s="221">
        <f>O24*I24</f>
        <v>658967.4</v>
      </c>
      <c r="O24" s="224">
        <v>8845.2000000000007</v>
      </c>
      <c r="P24" s="163" t="s">
        <v>75</v>
      </c>
      <c r="Q24" s="219">
        <f>702-100</f>
        <v>602</v>
      </c>
      <c r="R24" s="163"/>
      <c r="S24" s="163"/>
      <c r="V24" s="27">
        <v>163974.5</v>
      </c>
      <c r="W24" s="28">
        <v>2201</v>
      </c>
      <c r="AC24" t="e">
        <f>CONCATENATE(#REF!,B25)</f>
        <v>#REF!</v>
      </c>
      <c r="AD24" t="str">
        <f t="shared" si="2"/>
        <v/>
      </c>
    </row>
    <row r="25" spans="1:30" x14ac:dyDescent="0.35">
      <c r="A25" s="162">
        <v>15</v>
      </c>
      <c r="B25" s="163" t="s">
        <v>37</v>
      </c>
      <c r="C25" s="163"/>
      <c r="D25" s="163"/>
      <c r="E25" s="163"/>
      <c r="F25" s="163"/>
      <c r="G25" s="180"/>
      <c r="H25" s="180"/>
      <c r="I25" s="180"/>
      <c r="J25" s="180"/>
      <c r="K25" s="180"/>
      <c r="L25" s="163"/>
      <c r="M25" s="163"/>
      <c r="N25" s="163"/>
      <c r="O25" s="163"/>
      <c r="P25" s="163" t="s">
        <v>74</v>
      </c>
      <c r="Q25" s="219"/>
      <c r="R25" s="163"/>
      <c r="S25" s="163"/>
      <c r="AC25" t="e">
        <f>CONCATENATE(#REF!,B26)</f>
        <v>#REF!</v>
      </c>
      <c r="AD25" t="str">
        <f t="shared" si="2"/>
        <v/>
      </c>
    </row>
    <row r="26" spans="1:30" x14ac:dyDescent="0.35">
      <c r="A26" s="162">
        <v>16</v>
      </c>
      <c r="B26" s="163" t="s">
        <v>38</v>
      </c>
      <c r="C26" s="163"/>
      <c r="D26" s="163"/>
      <c r="E26" s="163"/>
      <c r="F26" s="163"/>
      <c r="G26" s="180"/>
      <c r="H26" s="180"/>
      <c r="I26" s="180"/>
      <c r="J26" s="180"/>
      <c r="K26" s="180"/>
      <c r="L26" s="163"/>
      <c r="M26" s="163"/>
      <c r="N26" s="163"/>
      <c r="O26" s="163"/>
      <c r="P26" s="163" t="s">
        <v>76</v>
      </c>
      <c r="Q26" s="163"/>
      <c r="R26" s="163"/>
      <c r="S26" s="163"/>
      <c r="AC26" t="e">
        <f>CONCATENATE(#REF!,B27)</f>
        <v>#REF!</v>
      </c>
      <c r="AD26" t="str">
        <f t="shared" si="2"/>
        <v/>
      </c>
    </row>
    <row r="27" spans="1:30" x14ac:dyDescent="0.35">
      <c r="A27" s="162">
        <v>17</v>
      </c>
      <c r="B27" s="163" t="s">
        <v>39</v>
      </c>
      <c r="C27" s="163"/>
      <c r="D27" s="163"/>
      <c r="E27" s="163"/>
      <c r="F27" s="163"/>
      <c r="G27" s="180"/>
      <c r="H27" s="180"/>
      <c r="I27" s="180"/>
      <c r="J27" s="180"/>
      <c r="K27" s="180"/>
      <c r="L27" s="163"/>
      <c r="M27" s="163"/>
      <c r="N27" s="163"/>
      <c r="O27" s="163"/>
      <c r="P27" s="163" t="s">
        <v>77</v>
      </c>
      <c r="Q27" s="163"/>
      <c r="R27" s="163"/>
      <c r="S27" s="163"/>
      <c r="AC27" t="e">
        <f>CONCATENATE(#REF!,B28)</f>
        <v>#REF!</v>
      </c>
      <c r="AD27" t="str">
        <f t="shared" si="2"/>
        <v/>
      </c>
    </row>
    <row r="28" spans="1:30" x14ac:dyDescent="0.35">
      <c r="A28" s="162">
        <v>18</v>
      </c>
      <c r="B28" s="163" t="s">
        <v>40</v>
      </c>
      <c r="C28" s="163"/>
      <c r="D28" s="163"/>
      <c r="E28" s="163"/>
      <c r="F28" s="163"/>
      <c r="G28" s="180"/>
      <c r="H28" s="180"/>
      <c r="I28" s="180"/>
      <c r="J28" s="180"/>
      <c r="K28" s="180"/>
      <c r="L28" s="163"/>
      <c r="M28" s="163"/>
      <c r="N28" s="163"/>
      <c r="O28" s="163"/>
      <c r="P28" s="163" t="s">
        <v>78</v>
      </c>
      <c r="Q28" s="163"/>
      <c r="R28" s="163"/>
      <c r="S28" s="163"/>
      <c r="AC28" t="e">
        <f>CONCATENATE(#REF!,B29)</f>
        <v>#REF!</v>
      </c>
      <c r="AD28" t="str">
        <f t="shared" si="2"/>
        <v/>
      </c>
    </row>
    <row r="29" spans="1:30" x14ac:dyDescent="0.35">
      <c r="A29" s="162">
        <v>19</v>
      </c>
      <c r="B29" s="163" t="s">
        <v>41</v>
      </c>
      <c r="C29" s="163"/>
      <c r="D29" s="163"/>
      <c r="E29" s="163"/>
      <c r="F29" s="163"/>
      <c r="G29" s="180"/>
      <c r="H29" s="180"/>
      <c r="I29" s="180"/>
      <c r="J29" s="180"/>
      <c r="K29" s="180"/>
      <c r="L29" s="163"/>
      <c r="M29" s="163"/>
      <c r="N29" s="163"/>
      <c r="O29" s="163"/>
      <c r="P29" s="163" t="s">
        <v>79</v>
      </c>
      <c r="Q29" s="163"/>
      <c r="R29" s="163"/>
      <c r="S29" s="163"/>
      <c r="AC29" t="e">
        <f>CONCATENATE(#REF!,B30)</f>
        <v>#REF!</v>
      </c>
      <c r="AD29" t="str">
        <f t="shared" si="2"/>
        <v/>
      </c>
    </row>
    <row r="30" spans="1:30" x14ac:dyDescent="0.35">
      <c r="A30" s="162">
        <v>20</v>
      </c>
      <c r="B30" s="163" t="s">
        <v>42</v>
      </c>
      <c r="C30" s="163"/>
      <c r="D30" s="163"/>
      <c r="E30" s="163"/>
      <c r="F30" s="163"/>
      <c r="G30" s="180"/>
      <c r="H30" s="180"/>
      <c r="I30" s="180"/>
      <c r="J30" s="180"/>
      <c r="K30" s="180"/>
      <c r="L30" s="163"/>
      <c r="M30" s="163"/>
      <c r="N30" s="163"/>
      <c r="O30" s="163"/>
      <c r="P30" s="163" t="s">
        <v>80</v>
      </c>
      <c r="Q30" s="163"/>
      <c r="R30" s="163"/>
      <c r="S30" s="163"/>
      <c r="AC30" t="e">
        <f>CONCATENATE(#REF!,B31)</f>
        <v>#REF!</v>
      </c>
      <c r="AD30" t="str">
        <f t="shared" si="2"/>
        <v/>
      </c>
    </row>
    <row r="31" spans="1:30" x14ac:dyDescent="0.35">
      <c r="A31" s="162">
        <v>21</v>
      </c>
      <c r="B31" s="163" t="s">
        <v>43</v>
      </c>
      <c r="C31" s="163"/>
      <c r="D31" s="163"/>
      <c r="E31" s="163"/>
      <c r="F31" s="163"/>
      <c r="G31" s="180"/>
      <c r="H31" s="180"/>
      <c r="I31" s="180"/>
      <c r="J31" s="180"/>
      <c r="K31" s="180"/>
      <c r="L31" s="163"/>
      <c r="M31" s="163"/>
      <c r="N31" s="163"/>
      <c r="O31" s="163"/>
      <c r="P31" s="163" t="s">
        <v>69</v>
      </c>
      <c r="Q31" s="163"/>
      <c r="R31" s="163"/>
      <c r="S31" s="163"/>
      <c r="AC31" t="e">
        <f>CONCATENATE(#REF!,B32)</f>
        <v>#REF!</v>
      </c>
      <c r="AD31" t="str">
        <f t="shared" si="2"/>
        <v/>
      </c>
    </row>
    <row r="32" spans="1:30" x14ac:dyDescent="0.35">
      <c r="A32" s="162">
        <v>22</v>
      </c>
      <c r="B32" s="163" t="s">
        <v>44</v>
      </c>
      <c r="C32" s="163"/>
      <c r="D32" s="163"/>
      <c r="E32" s="163"/>
      <c r="F32" s="163"/>
      <c r="G32" s="180"/>
      <c r="H32" s="180"/>
      <c r="I32" s="180"/>
      <c r="J32" s="180"/>
      <c r="K32" s="180"/>
      <c r="L32" s="163"/>
      <c r="M32" s="163"/>
      <c r="N32" s="163"/>
      <c r="O32" s="163"/>
      <c r="P32" s="163" t="s">
        <v>81</v>
      </c>
      <c r="Q32" s="163"/>
      <c r="R32" s="163"/>
      <c r="S32" s="163"/>
      <c r="AC32" t="e">
        <f>CONCATENATE(#REF!,B33)</f>
        <v>#REF!</v>
      </c>
      <c r="AD32" t="e">
        <f t="shared" si="2"/>
        <v>#DIV/0!</v>
      </c>
    </row>
    <row r="33" spans="1:30" x14ac:dyDescent="0.35">
      <c r="A33" s="162">
        <v>23</v>
      </c>
      <c r="B33" s="163" t="s">
        <v>45</v>
      </c>
      <c r="C33" s="163">
        <v>2</v>
      </c>
      <c r="D33" s="217" t="s">
        <v>92</v>
      </c>
      <c r="E33" s="217" t="s">
        <v>92</v>
      </c>
      <c r="F33" s="217" t="s">
        <v>92</v>
      </c>
      <c r="G33" s="180">
        <f t="shared" ref="G33:G34" si="3">C33+E33-F33</f>
        <v>2</v>
      </c>
      <c r="H33" s="226" t="s">
        <v>92</v>
      </c>
      <c r="I33" s="226" t="s">
        <v>92</v>
      </c>
      <c r="J33" s="180">
        <v>2</v>
      </c>
      <c r="K33" s="180">
        <f t="shared" ref="K33:K34" si="4">SUM(H33:J33)</f>
        <v>2</v>
      </c>
      <c r="L33" s="227" t="s">
        <v>92</v>
      </c>
      <c r="M33" s="217" t="s">
        <v>92</v>
      </c>
      <c r="N33" s="228" t="s">
        <v>92</v>
      </c>
      <c r="O33" s="228" t="s">
        <v>92</v>
      </c>
      <c r="P33" s="163" t="s">
        <v>81</v>
      </c>
      <c r="Q33" s="163">
        <f>248-200</f>
        <v>48</v>
      </c>
      <c r="R33" s="163"/>
      <c r="S33" s="163"/>
      <c r="V33" t="s">
        <v>92</v>
      </c>
      <c r="W33" t="s">
        <v>92</v>
      </c>
      <c r="AC33" t="e">
        <f>CONCATENATE(#REF!,B34)</f>
        <v>#REF!</v>
      </c>
      <c r="AD33">
        <f t="shared" si="2"/>
        <v>0.25</v>
      </c>
    </row>
    <row r="34" spans="1:30" x14ac:dyDescent="0.35">
      <c r="A34" s="162">
        <v>24</v>
      </c>
      <c r="B34" s="163" t="s">
        <v>46</v>
      </c>
      <c r="C34" s="163">
        <v>1.25</v>
      </c>
      <c r="D34" s="217" t="s">
        <v>92</v>
      </c>
      <c r="E34" s="217">
        <v>0</v>
      </c>
      <c r="F34" s="217" t="s">
        <v>92</v>
      </c>
      <c r="G34" s="180">
        <f t="shared" si="3"/>
        <v>1.25</v>
      </c>
      <c r="H34" s="218">
        <v>1</v>
      </c>
      <c r="I34" s="180">
        <v>0.25</v>
      </c>
      <c r="J34" s="218">
        <v>0</v>
      </c>
      <c r="K34" s="180">
        <f t="shared" si="4"/>
        <v>1.25</v>
      </c>
      <c r="L34" s="229">
        <v>148.79</v>
      </c>
      <c r="M34" s="163">
        <v>595.16</v>
      </c>
      <c r="N34" s="221">
        <f>O34*I34</f>
        <v>103.5</v>
      </c>
      <c r="O34" s="220">
        <v>414</v>
      </c>
      <c r="P34" s="163" t="s">
        <v>72</v>
      </c>
      <c r="Q34" s="163">
        <f>86-20</f>
        <v>66</v>
      </c>
      <c r="R34" s="163"/>
      <c r="S34" s="163"/>
      <c r="V34" s="28">
        <v>0</v>
      </c>
      <c r="W34">
        <v>0</v>
      </c>
      <c r="AC34" t="e">
        <f>CONCATENATE(#REF!,B35)</f>
        <v>#REF!</v>
      </c>
      <c r="AD34" t="str">
        <f t="shared" si="2"/>
        <v/>
      </c>
    </row>
    <row r="35" spans="1:30" x14ac:dyDescent="0.35">
      <c r="A35" s="162">
        <v>25</v>
      </c>
      <c r="B35" s="163" t="s">
        <v>47</v>
      </c>
      <c r="C35" s="163"/>
      <c r="D35" s="163"/>
      <c r="E35" s="163"/>
      <c r="F35" s="163"/>
      <c r="G35" s="180"/>
      <c r="H35" s="180"/>
      <c r="I35" s="180"/>
      <c r="J35" s="180"/>
      <c r="K35" s="180"/>
      <c r="L35" s="163"/>
      <c r="M35" s="163"/>
      <c r="N35" s="163"/>
      <c r="O35" s="163"/>
      <c r="P35" s="163" t="s">
        <v>75</v>
      </c>
      <c r="Q35" s="163"/>
      <c r="R35" s="163"/>
      <c r="S35" s="163"/>
      <c r="AC35" t="e">
        <f>CONCATENATE(#REF!,B36)</f>
        <v>#REF!</v>
      </c>
      <c r="AD35" t="str">
        <f t="shared" si="2"/>
        <v/>
      </c>
    </row>
    <row r="36" spans="1:30" x14ac:dyDescent="0.35">
      <c r="A36" s="162">
        <v>26</v>
      </c>
      <c r="B36" s="163" t="s">
        <v>48</v>
      </c>
      <c r="C36" s="163"/>
      <c r="D36" s="163"/>
      <c r="E36" s="163"/>
      <c r="F36" s="163"/>
      <c r="G36" s="180"/>
      <c r="H36" s="180"/>
      <c r="I36" s="180"/>
      <c r="J36" s="180"/>
      <c r="K36" s="180"/>
      <c r="L36" s="163"/>
      <c r="M36" s="163"/>
      <c r="N36" s="163"/>
      <c r="O36" s="163"/>
      <c r="P36" s="163" t="s">
        <v>72</v>
      </c>
      <c r="Q36" s="163"/>
      <c r="R36" s="163"/>
      <c r="S36" s="163"/>
      <c r="AC36" t="e">
        <f>CONCATENATE(#REF!,B37)</f>
        <v>#REF!</v>
      </c>
      <c r="AD36" t="str">
        <f t="shared" si="2"/>
        <v/>
      </c>
    </row>
    <row r="37" spans="1:30" x14ac:dyDescent="0.35">
      <c r="A37" s="162">
        <v>27</v>
      </c>
      <c r="B37" s="163" t="s">
        <v>49</v>
      </c>
      <c r="C37" s="163"/>
      <c r="D37" s="163"/>
      <c r="E37" s="163"/>
      <c r="F37" s="163"/>
      <c r="G37" s="180"/>
      <c r="H37" s="180"/>
      <c r="I37" s="180"/>
      <c r="J37" s="180"/>
      <c r="K37" s="180"/>
      <c r="L37" s="163"/>
      <c r="M37" s="163"/>
      <c r="N37" s="163"/>
      <c r="O37" s="163"/>
      <c r="P37" s="163" t="s">
        <v>84</v>
      </c>
      <c r="Q37" s="163"/>
      <c r="R37" s="163"/>
      <c r="S37" s="163"/>
      <c r="AC37" t="e">
        <f>CONCATENATE(#REF!,B38)</f>
        <v>#REF!</v>
      </c>
      <c r="AD37" t="str">
        <f t="shared" si="2"/>
        <v/>
      </c>
    </row>
    <row r="38" spans="1:30" x14ac:dyDescent="0.35">
      <c r="A38" s="162">
        <v>28</v>
      </c>
      <c r="B38" s="163" t="s">
        <v>50</v>
      </c>
      <c r="C38" s="163"/>
      <c r="D38" s="163"/>
      <c r="E38" s="163"/>
      <c r="F38" s="163"/>
      <c r="G38" s="180"/>
      <c r="H38" s="180"/>
      <c r="I38" s="180"/>
      <c r="J38" s="180"/>
      <c r="K38" s="180"/>
      <c r="L38" s="163"/>
      <c r="M38" s="163"/>
      <c r="N38" s="163"/>
      <c r="O38" s="163"/>
      <c r="P38" s="163" t="s">
        <v>77</v>
      </c>
      <c r="Q38" s="163"/>
      <c r="R38" s="163"/>
      <c r="S38" s="163"/>
      <c r="AC38" t="e">
        <f>CONCATENATE(#REF!,#REF!)</f>
        <v>#REF!</v>
      </c>
    </row>
    <row r="39" spans="1:30" x14ac:dyDescent="0.35">
      <c r="A39" s="162">
        <v>29</v>
      </c>
      <c r="B39" s="163" t="s">
        <v>51</v>
      </c>
      <c r="C39" s="163"/>
      <c r="D39" s="163"/>
      <c r="E39" s="163"/>
      <c r="F39" s="163"/>
      <c r="G39" s="180"/>
      <c r="H39" s="180"/>
      <c r="I39" s="180"/>
      <c r="J39" s="180"/>
      <c r="K39" s="180"/>
      <c r="L39" s="163"/>
      <c r="M39" s="163"/>
      <c r="N39" s="163"/>
      <c r="O39" s="163"/>
      <c r="P39" s="163" t="s">
        <v>82</v>
      </c>
      <c r="Q39" s="163"/>
      <c r="R39" s="163"/>
      <c r="S39" s="163"/>
      <c r="AC39" t="e">
        <f>CONCATENATE(#REF!,B40)</f>
        <v>#REF!</v>
      </c>
      <c r="AD39" t="str">
        <f>IF(L40="","",L40/M40)</f>
        <v/>
      </c>
    </row>
    <row r="40" spans="1:30" x14ac:dyDescent="0.35">
      <c r="A40" s="162">
        <v>30</v>
      </c>
      <c r="B40" s="163" t="s">
        <v>52</v>
      </c>
      <c r="C40" s="163"/>
      <c r="D40" s="163"/>
      <c r="E40" s="163"/>
      <c r="F40" s="163"/>
      <c r="G40" s="180"/>
      <c r="H40" s="180"/>
      <c r="I40" s="180"/>
      <c r="J40" s="180"/>
      <c r="K40" s="180"/>
      <c r="L40" s="163"/>
      <c r="M40" s="163"/>
      <c r="N40" s="163"/>
      <c r="O40" s="163"/>
      <c r="P40" s="163" t="s">
        <v>83</v>
      </c>
      <c r="Q40" s="163"/>
      <c r="R40" s="163"/>
      <c r="S40" s="163"/>
    </row>
    <row r="41" spans="1:30" x14ac:dyDescent="0.35">
      <c r="A41" s="230"/>
      <c r="B41" s="230"/>
      <c r="C41" s="230"/>
      <c r="D41" s="230"/>
      <c r="E41" s="230"/>
      <c r="F41" s="230"/>
      <c r="G41" s="231"/>
      <c r="H41" s="231"/>
      <c r="I41" s="231"/>
      <c r="J41" s="231"/>
      <c r="K41" s="231"/>
      <c r="L41" s="230"/>
      <c r="M41" s="230"/>
      <c r="N41" s="230"/>
      <c r="O41" s="230"/>
      <c r="P41" s="230"/>
      <c r="Q41" s="230"/>
      <c r="R41" s="230"/>
      <c r="S41" s="230"/>
    </row>
    <row r="42" spans="1:30" x14ac:dyDescent="0.35">
      <c r="A42" s="230"/>
      <c r="B42" s="299" t="s">
        <v>105</v>
      </c>
      <c r="C42" s="299"/>
      <c r="D42" s="230"/>
      <c r="E42" s="230"/>
      <c r="F42" s="230"/>
      <c r="G42" s="231"/>
      <c r="H42" s="231"/>
      <c r="I42" s="231"/>
      <c r="J42" s="231"/>
      <c r="K42" s="231"/>
      <c r="L42" s="230"/>
      <c r="M42" s="230"/>
      <c r="N42" s="230"/>
      <c r="O42" s="230"/>
      <c r="P42" s="230"/>
      <c r="Q42" s="230"/>
      <c r="R42" s="230"/>
      <c r="S42" s="230"/>
    </row>
    <row r="43" spans="1:30" x14ac:dyDescent="0.35">
      <c r="A43" s="230"/>
      <c r="B43" s="299" t="s">
        <v>106</v>
      </c>
      <c r="C43" s="299"/>
      <c r="D43" s="230"/>
      <c r="E43" s="230"/>
      <c r="F43" s="230"/>
      <c r="G43" s="231"/>
      <c r="H43" s="231"/>
      <c r="I43" s="231"/>
      <c r="J43" s="231"/>
      <c r="K43" s="231"/>
      <c r="L43" s="230"/>
      <c r="M43" s="230"/>
      <c r="N43" s="230"/>
      <c r="O43" s="230"/>
      <c r="P43" s="299" t="s">
        <v>110</v>
      </c>
      <c r="Q43" s="299"/>
      <c r="R43" s="230"/>
      <c r="S43" s="230"/>
    </row>
    <row r="44" spans="1:30" x14ac:dyDescent="0.35">
      <c r="A44" s="230"/>
      <c r="B44" s="232"/>
      <c r="C44" s="232"/>
      <c r="D44" s="230"/>
      <c r="E44" s="230"/>
      <c r="F44" s="230"/>
      <c r="G44" s="231"/>
      <c r="H44" s="231"/>
      <c r="I44" s="231"/>
      <c r="J44" s="231"/>
      <c r="K44" s="231"/>
      <c r="L44" s="230"/>
      <c r="M44" s="230"/>
      <c r="N44" s="230"/>
      <c r="O44" s="230"/>
      <c r="P44" s="232"/>
      <c r="Q44" s="232"/>
      <c r="R44" s="230"/>
      <c r="S44" s="230"/>
    </row>
    <row r="45" spans="1:30" x14ac:dyDescent="0.35">
      <c r="A45" s="230"/>
      <c r="B45" s="232"/>
      <c r="C45" s="232"/>
      <c r="D45" s="230"/>
      <c r="E45" s="230"/>
      <c r="F45" s="230"/>
      <c r="G45" s="231"/>
      <c r="H45" s="231"/>
      <c r="I45" s="231"/>
      <c r="J45" s="231"/>
      <c r="K45" s="231"/>
      <c r="L45" s="230"/>
      <c r="M45" s="230"/>
      <c r="N45" s="230"/>
      <c r="O45" s="230"/>
      <c r="P45" s="232"/>
      <c r="Q45" s="232"/>
      <c r="R45" s="230"/>
      <c r="S45" s="230"/>
    </row>
    <row r="46" spans="1:30" x14ac:dyDescent="0.35">
      <c r="A46" s="230"/>
      <c r="B46" s="232"/>
      <c r="C46" s="232"/>
      <c r="D46" s="230"/>
      <c r="E46" s="230"/>
      <c r="F46" s="230"/>
      <c r="G46" s="231"/>
      <c r="H46" s="231"/>
      <c r="I46" s="231"/>
      <c r="J46" s="231"/>
      <c r="K46" s="231"/>
      <c r="L46" s="230"/>
      <c r="M46" s="230"/>
      <c r="N46" s="230"/>
      <c r="O46" s="230"/>
      <c r="P46" s="232"/>
      <c r="Q46" s="232"/>
      <c r="R46" s="230"/>
      <c r="S46" s="230"/>
    </row>
    <row r="47" spans="1:30" x14ac:dyDescent="0.35">
      <c r="A47" s="230"/>
      <c r="B47" s="298" t="s">
        <v>107</v>
      </c>
      <c r="C47" s="298"/>
      <c r="D47" s="230"/>
      <c r="E47" s="230"/>
      <c r="F47" s="230"/>
      <c r="G47" s="231"/>
      <c r="H47" s="231"/>
      <c r="I47" s="231"/>
      <c r="J47" s="231"/>
      <c r="K47" s="231"/>
      <c r="L47" s="230"/>
      <c r="M47" s="230"/>
      <c r="N47" s="230"/>
      <c r="O47" s="230"/>
      <c r="P47" s="298" t="s">
        <v>109</v>
      </c>
      <c r="Q47" s="298"/>
      <c r="R47" s="230"/>
      <c r="S47" s="230"/>
    </row>
    <row r="48" spans="1:30" x14ac:dyDescent="0.35">
      <c r="A48" s="230"/>
      <c r="B48" s="299" t="s">
        <v>108</v>
      </c>
      <c r="C48" s="299"/>
      <c r="D48" s="230"/>
      <c r="E48" s="230"/>
      <c r="F48" s="230"/>
      <c r="G48" s="231"/>
      <c r="H48" s="231"/>
      <c r="I48" s="231"/>
      <c r="J48" s="231"/>
      <c r="K48" s="231"/>
      <c r="L48" s="230"/>
      <c r="M48" s="230"/>
      <c r="N48" s="230"/>
      <c r="O48" s="230"/>
      <c r="P48" s="230"/>
      <c r="Q48" s="230"/>
      <c r="R48" s="230"/>
      <c r="S48" s="230"/>
    </row>
  </sheetData>
  <mergeCells count="19"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  <mergeCell ref="Q8:R9"/>
    <mergeCell ref="P8:P10"/>
    <mergeCell ref="S8:S10"/>
    <mergeCell ref="B47:C47"/>
    <mergeCell ref="B48:C48"/>
    <mergeCell ref="B42:C42"/>
    <mergeCell ref="B43:C43"/>
    <mergeCell ref="P43:Q43"/>
    <mergeCell ref="P47:Q47"/>
  </mergeCells>
  <pageMargins left="0.55118110236220497" right="0.44685039399999998" top="0.31496062992126" bottom="0.27559055118110198" header="0.23622047244094499" footer="0.31496062992126"/>
  <pageSetup paperSize="5" scale="75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AD49"/>
  <sheetViews>
    <sheetView topLeftCell="A6" zoomScaleNormal="100" workbookViewId="0">
      <selection activeCell="O24" sqref="O24"/>
    </sheetView>
  </sheetViews>
  <sheetFormatPr defaultRowHeight="14.5" x14ac:dyDescent="0.35"/>
  <cols>
    <col min="1" max="1" width="4.7265625" customWidth="1"/>
    <col min="2" max="2" width="18.7265625" customWidth="1"/>
    <col min="3" max="3" width="10.7265625" customWidth="1"/>
    <col min="4" max="4" width="7.54296875" customWidth="1"/>
    <col min="5" max="5" width="9.54296875" customWidth="1"/>
    <col min="6" max="6" width="9.1796875" customWidth="1"/>
    <col min="7" max="7" width="9.1796875" style="32" customWidth="1"/>
    <col min="8" max="8" width="8.453125" style="32" customWidth="1"/>
    <col min="9" max="9" width="9.1796875" style="32" customWidth="1"/>
    <col min="10" max="10" width="8.81640625" style="32" customWidth="1"/>
    <col min="11" max="11" width="9.81640625" style="32" customWidth="1"/>
    <col min="12" max="12" width="13.1796875" customWidth="1"/>
    <col min="13" max="13" width="10.26953125" customWidth="1"/>
    <col min="14" max="14" width="13.1796875" customWidth="1"/>
    <col min="15" max="15" width="11.453125" customWidth="1"/>
    <col min="16" max="16" width="15.26953125" bestFit="1" customWidth="1"/>
    <col min="17" max="17" width="11.26953125" customWidth="1"/>
    <col min="18" max="18" width="7.1796875" customWidth="1"/>
    <col min="19" max="19" width="5.81640625" customWidth="1"/>
    <col min="20" max="20" width="10.1796875" customWidth="1"/>
    <col min="24" max="25" width="10" bestFit="1" customWidth="1"/>
    <col min="29" max="30" width="9.1796875" hidden="1" customWidth="1"/>
  </cols>
  <sheetData>
    <row r="1" spans="1:30" x14ac:dyDescent="0.35">
      <c r="A1" s="1" t="s">
        <v>57</v>
      </c>
      <c r="G1" s="30"/>
      <c r="H1" s="30"/>
      <c r="I1" s="30"/>
      <c r="J1" s="30"/>
      <c r="K1" s="30"/>
    </row>
    <row r="2" spans="1:30" x14ac:dyDescent="0.35">
      <c r="A2" s="2"/>
      <c r="G2" s="30"/>
      <c r="H2" s="30"/>
      <c r="I2" s="30"/>
      <c r="J2" s="30"/>
      <c r="K2" s="30"/>
    </row>
    <row r="3" spans="1:30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113"/>
    </row>
    <row r="4" spans="1:30" x14ac:dyDescent="0.35">
      <c r="A4" s="1"/>
      <c r="G4" s="30"/>
      <c r="H4" s="30"/>
      <c r="I4" s="30"/>
      <c r="J4" s="30"/>
      <c r="K4" s="30"/>
      <c r="R4" s="5"/>
      <c r="S4" s="6"/>
      <c r="T4" s="6"/>
    </row>
    <row r="5" spans="1:30" x14ac:dyDescent="0.35">
      <c r="A5" s="153" t="s">
        <v>175</v>
      </c>
      <c r="B5" s="151"/>
      <c r="C5" s="151" t="s">
        <v>188</v>
      </c>
      <c r="D5" s="151"/>
      <c r="E5" s="151"/>
      <c r="F5" s="151"/>
      <c r="G5" s="154"/>
      <c r="H5" s="154"/>
      <c r="I5" s="154"/>
      <c r="J5" s="154"/>
      <c r="K5" s="154"/>
      <c r="L5" s="151"/>
      <c r="M5" s="151"/>
      <c r="N5" s="151"/>
      <c r="O5" s="151"/>
      <c r="P5" s="151"/>
      <c r="Q5" s="151" t="s">
        <v>181</v>
      </c>
      <c r="R5" s="153" t="s">
        <v>182</v>
      </c>
      <c r="S5" s="151"/>
    </row>
    <row r="6" spans="1:30" x14ac:dyDescent="0.35">
      <c r="A6" s="153" t="s">
        <v>176</v>
      </c>
      <c r="B6" s="151"/>
      <c r="C6" s="151" t="s">
        <v>172</v>
      </c>
      <c r="D6" s="151"/>
      <c r="E6" s="151"/>
      <c r="F6" s="151"/>
      <c r="G6" s="154"/>
      <c r="H6" s="154"/>
      <c r="I6" s="154"/>
      <c r="J6" s="154"/>
      <c r="K6" s="154"/>
      <c r="L6" s="151"/>
      <c r="M6" s="151"/>
      <c r="N6" s="151"/>
      <c r="O6" s="151"/>
      <c r="P6" s="151"/>
      <c r="Q6" s="151" t="s">
        <v>180</v>
      </c>
      <c r="R6" s="153" t="s">
        <v>203</v>
      </c>
      <c r="S6" s="151"/>
    </row>
    <row r="7" spans="1:30" x14ac:dyDescent="0.35">
      <c r="A7" s="153" t="s">
        <v>177</v>
      </c>
      <c r="B7" s="151"/>
      <c r="C7" s="151" t="s">
        <v>174</v>
      </c>
      <c r="D7" s="151"/>
      <c r="E7" s="151"/>
      <c r="F7" s="151"/>
      <c r="G7" s="154"/>
      <c r="H7" s="154"/>
      <c r="I7" s="154"/>
      <c r="J7" s="154"/>
      <c r="K7" s="154"/>
      <c r="L7" s="151"/>
      <c r="M7" s="151"/>
      <c r="N7" s="151"/>
      <c r="O7" s="151"/>
      <c r="P7" s="151"/>
      <c r="Q7" s="151"/>
      <c r="R7" s="151"/>
      <c r="S7" s="151"/>
    </row>
    <row r="8" spans="1:30" s="11" customFormat="1" x14ac:dyDescent="0.35">
      <c r="A8" s="300" t="s">
        <v>3</v>
      </c>
      <c r="B8" s="300" t="s">
        <v>4</v>
      </c>
      <c r="C8" s="300" t="s">
        <v>23</v>
      </c>
      <c r="D8" s="300" t="s">
        <v>6</v>
      </c>
      <c r="E8" s="300"/>
      <c r="F8" s="300"/>
      <c r="G8" s="300"/>
      <c r="H8" s="300"/>
      <c r="I8" s="300"/>
      <c r="J8" s="300"/>
      <c r="K8" s="300"/>
      <c r="L8" s="300" t="s">
        <v>22</v>
      </c>
      <c r="M8" s="300"/>
      <c r="N8" s="300"/>
      <c r="O8" s="300"/>
      <c r="P8" s="301" t="s">
        <v>16</v>
      </c>
      <c r="Q8" s="303" t="s">
        <v>17</v>
      </c>
      <c r="R8" s="304"/>
      <c r="S8" s="301" t="s">
        <v>166</v>
      </c>
      <c r="AC8" s="11" t="s">
        <v>54</v>
      </c>
      <c r="AD8" s="11" t="s">
        <v>54</v>
      </c>
    </row>
    <row r="9" spans="1:30" s="11" customFormat="1" ht="22.5" customHeight="1" x14ac:dyDescent="0.35">
      <c r="A9" s="300"/>
      <c r="B9" s="300"/>
      <c r="C9" s="300"/>
      <c r="D9" s="301" t="s">
        <v>7</v>
      </c>
      <c r="E9" s="301"/>
      <c r="F9" s="301"/>
      <c r="G9" s="301"/>
      <c r="H9" s="302" t="s">
        <v>12</v>
      </c>
      <c r="I9" s="302"/>
      <c r="J9" s="302"/>
      <c r="K9" s="302"/>
      <c r="L9" s="301" t="s">
        <v>13</v>
      </c>
      <c r="M9" s="301"/>
      <c r="N9" s="301" t="s">
        <v>15</v>
      </c>
      <c r="O9" s="301"/>
      <c r="P9" s="307"/>
      <c r="Q9" s="305"/>
      <c r="R9" s="306"/>
      <c r="S9" s="307"/>
      <c r="T9" s="114"/>
      <c r="V9" s="11" t="s">
        <v>15</v>
      </c>
      <c r="AC9" s="11" t="s">
        <v>56</v>
      </c>
      <c r="AD9" s="11" t="s">
        <v>56</v>
      </c>
    </row>
    <row r="10" spans="1:30" s="11" customFormat="1" ht="39.75" customHeight="1" x14ac:dyDescent="0.35">
      <c r="A10" s="300"/>
      <c r="B10" s="300"/>
      <c r="C10" s="300"/>
      <c r="D10" s="215" t="s">
        <v>8</v>
      </c>
      <c r="E10" s="215" t="s">
        <v>9</v>
      </c>
      <c r="F10" s="215" t="s">
        <v>10</v>
      </c>
      <c r="G10" s="216" t="s">
        <v>11</v>
      </c>
      <c r="H10" s="216" t="s">
        <v>0</v>
      </c>
      <c r="I10" s="216" t="s">
        <v>1</v>
      </c>
      <c r="J10" s="216" t="s">
        <v>2</v>
      </c>
      <c r="K10" s="216" t="s">
        <v>11</v>
      </c>
      <c r="L10" s="215" t="s">
        <v>14</v>
      </c>
      <c r="M10" s="215" t="s">
        <v>21</v>
      </c>
      <c r="N10" s="215" t="s">
        <v>14</v>
      </c>
      <c r="O10" s="215" t="s">
        <v>21</v>
      </c>
      <c r="P10" s="308"/>
      <c r="Q10" s="215" t="s">
        <v>19</v>
      </c>
      <c r="R10" s="215" t="s">
        <v>20</v>
      </c>
      <c r="S10" s="308"/>
      <c r="T10" s="114"/>
      <c r="V10" s="11" t="s">
        <v>14</v>
      </c>
      <c r="W10" s="11" t="s">
        <v>21</v>
      </c>
      <c r="AC10" s="11" t="s">
        <v>55</v>
      </c>
      <c r="AD10" s="11" t="s">
        <v>55</v>
      </c>
    </row>
    <row r="11" spans="1:30" x14ac:dyDescent="0.35">
      <c r="A11" s="162">
        <v>1</v>
      </c>
      <c r="B11" s="163" t="s">
        <v>5</v>
      </c>
      <c r="C11" s="163"/>
      <c r="D11" s="163"/>
      <c r="E11" s="163"/>
      <c r="F11" s="163"/>
      <c r="G11" s="180"/>
      <c r="H11" s="180"/>
      <c r="I11" s="180"/>
      <c r="J11" s="180"/>
      <c r="K11" s="180"/>
      <c r="L11" s="163"/>
      <c r="M11" s="163"/>
      <c r="N11" s="163"/>
      <c r="O11" s="163"/>
      <c r="P11" s="163" t="s">
        <v>67</v>
      </c>
      <c r="Q11" s="163"/>
      <c r="R11" s="163"/>
      <c r="S11" s="163"/>
      <c r="AC11" t="e">
        <f>CONCATENATE(#REF!,B11)</f>
        <v>#REF!</v>
      </c>
      <c r="AD11" t="str">
        <f>IF(L11="","",L11/M11)</f>
        <v/>
      </c>
    </row>
    <row r="12" spans="1:30" x14ac:dyDescent="0.35">
      <c r="A12" s="162">
        <v>2</v>
      </c>
      <c r="B12" s="163" t="s">
        <v>25</v>
      </c>
      <c r="C12" s="163"/>
      <c r="D12" s="163"/>
      <c r="E12" s="163"/>
      <c r="F12" s="163"/>
      <c r="G12" s="180"/>
      <c r="H12" s="180"/>
      <c r="I12" s="180"/>
      <c r="J12" s="180"/>
      <c r="K12" s="180"/>
      <c r="L12" s="163"/>
      <c r="M12" s="163"/>
      <c r="N12" s="163"/>
      <c r="O12" s="163"/>
      <c r="P12" s="163" t="s">
        <v>68</v>
      </c>
      <c r="Q12" s="163"/>
      <c r="R12" s="163"/>
      <c r="S12" s="163"/>
      <c r="AC12" t="e">
        <f>CONCATENATE(#REF!,B12)</f>
        <v>#REF!</v>
      </c>
      <c r="AD12" t="str">
        <f t="shared" ref="AD12:AD20" si="0">IF(L12="","",L12/M12)</f>
        <v/>
      </c>
    </row>
    <row r="13" spans="1:30" x14ac:dyDescent="0.35">
      <c r="A13" s="162">
        <v>3</v>
      </c>
      <c r="B13" s="163" t="s">
        <v>26</v>
      </c>
      <c r="C13" s="163"/>
      <c r="D13" s="163"/>
      <c r="E13" s="163"/>
      <c r="F13" s="163"/>
      <c r="G13" s="180"/>
      <c r="H13" s="180"/>
      <c r="I13" s="180"/>
      <c r="J13" s="180"/>
      <c r="K13" s="180"/>
      <c r="L13" s="163"/>
      <c r="M13" s="163"/>
      <c r="N13" s="163"/>
      <c r="O13" s="163"/>
      <c r="P13" s="163" t="s">
        <v>68</v>
      </c>
      <c r="Q13" s="163"/>
      <c r="R13" s="163"/>
      <c r="S13" s="163"/>
      <c r="AC13" t="e">
        <f>CONCATENATE(#REF!,B13)</f>
        <v>#REF!</v>
      </c>
      <c r="AD13" t="str">
        <f t="shared" si="0"/>
        <v/>
      </c>
    </row>
    <row r="14" spans="1:30" x14ac:dyDescent="0.35">
      <c r="A14" s="162">
        <v>4</v>
      </c>
      <c r="B14" s="163" t="s">
        <v>27</v>
      </c>
      <c r="C14" s="163"/>
      <c r="D14" s="163"/>
      <c r="E14" s="163"/>
      <c r="F14" s="163"/>
      <c r="G14" s="180"/>
      <c r="H14" s="180"/>
      <c r="I14" s="180"/>
      <c r="J14" s="180"/>
      <c r="K14" s="180"/>
      <c r="L14" s="163"/>
      <c r="M14" s="163"/>
      <c r="N14" s="163"/>
      <c r="O14" s="163"/>
      <c r="P14" s="163" t="s">
        <v>69</v>
      </c>
      <c r="Q14" s="163"/>
      <c r="R14" s="163"/>
      <c r="S14" s="163"/>
      <c r="AC14" t="e">
        <f>CONCATENATE(#REF!,B14)</f>
        <v>#REF!</v>
      </c>
      <c r="AD14" t="str">
        <f t="shared" si="0"/>
        <v/>
      </c>
    </row>
    <row r="15" spans="1:30" x14ac:dyDescent="0.35">
      <c r="A15" s="162">
        <v>5</v>
      </c>
      <c r="B15" s="163" t="s">
        <v>28</v>
      </c>
      <c r="C15" s="163"/>
      <c r="D15" s="163"/>
      <c r="E15" s="163"/>
      <c r="F15" s="163"/>
      <c r="G15" s="180"/>
      <c r="H15" s="180"/>
      <c r="I15" s="180"/>
      <c r="J15" s="180"/>
      <c r="K15" s="180"/>
      <c r="L15" s="163"/>
      <c r="M15" s="163"/>
      <c r="N15" s="163"/>
      <c r="O15" s="163"/>
      <c r="P15" s="163" t="s">
        <v>70</v>
      </c>
      <c r="Q15" s="163"/>
      <c r="R15" s="163"/>
      <c r="S15" s="163"/>
      <c r="AC15" t="e">
        <f>CONCATENATE(#REF!,B15)</f>
        <v>#REF!</v>
      </c>
      <c r="AD15" t="str">
        <f t="shared" si="0"/>
        <v/>
      </c>
    </row>
    <row r="16" spans="1:30" x14ac:dyDescent="0.35">
      <c r="A16" s="162">
        <v>6</v>
      </c>
      <c r="B16" s="163" t="s">
        <v>29</v>
      </c>
      <c r="C16" s="163"/>
      <c r="D16" s="163"/>
      <c r="E16" s="163"/>
      <c r="F16" s="163"/>
      <c r="G16" s="180"/>
      <c r="H16" s="180"/>
      <c r="I16" s="180"/>
      <c r="J16" s="180"/>
      <c r="K16" s="180"/>
      <c r="L16" s="163"/>
      <c r="M16" s="163"/>
      <c r="N16" s="163"/>
      <c r="O16" s="163"/>
      <c r="P16" s="163" t="s">
        <v>70</v>
      </c>
      <c r="Q16" s="163"/>
      <c r="R16" s="163"/>
      <c r="S16" s="163"/>
      <c r="AC16" t="e">
        <f>CONCATENATE(#REF!,B16)</f>
        <v>#REF!</v>
      </c>
      <c r="AD16" t="str">
        <f t="shared" si="0"/>
        <v/>
      </c>
    </row>
    <row r="17" spans="1:30" x14ac:dyDescent="0.35">
      <c r="A17" s="162">
        <v>7</v>
      </c>
      <c r="B17" s="163" t="s">
        <v>30</v>
      </c>
      <c r="C17" s="163"/>
      <c r="D17" s="163"/>
      <c r="E17" s="163"/>
      <c r="F17" s="163"/>
      <c r="G17" s="180"/>
      <c r="H17" s="180"/>
      <c r="I17" s="180"/>
      <c r="J17" s="180"/>
      <c r="K17" s="180"/>
      <c r="L17" s="163"/>
      <c r="M17" s="163"/>
      <c r="N17" s="163"/>
      <c r="O17" s="163"/>
      <c r="P17" s="163" t="s">
        <v>71</v>
      </c>
      <c r="Q17" s="163"/>
      <c r="R17" s="163"/>
      <c r="S17" s="163"/>
      <c r="AC17" t="e">
        <f>CONCATENATE(#REF!,B17)</f>
        <v>#REF!</v>
      </c>
      <c r="AD17" t="str">
        <f t="shared" si="0"/>
        <v/>
      </c>
    </row>
    <row r="18" spans="1:30" x14ac:dyDescent="0.35">
      <c r="A18" s="162">
        <v>8</v>
      </c>
      <c r="B18" s="163" t="s">
        <v>31</v>
      </c>
      <c r="C18" s="163"/>
      <c r="D18" s="163"/>
      <c r="E18" s="163"/>
      <c r="F18" s="163"/>
      <c r="G18" s="180"/>
      <c r="H18" s="180"/>
      <c r="I18" s="180"/>
      <c r="J18" s="180"/>
      <c r="K18" s="180"/>
      <c r="L18" s="163"/>
      <c r="M18" s="163"/>
      <c r="N18" s="163"/>
      <c r="O18" s="163"/>
      <c r="P18" s="163" t="s">
        <v>72</v>
      </c>
      <c r="Q18" s="163"/>
      <c r="R18" s="163"/>
      <c r="S18" s="163"/>
      <c r="AC18" t="e">
        <f>CONCATENATE(#REF!,B18)</f>
        <v>#REF!</v>
      </c>
      <c r="AD18" t="str">
        <f t="shared" si="0"/>
        <v/>
      </c>
    </row>
    <row r="19" spans="1:30" x14ac:dyDescent="0.35">
      <c r="A19" s="162">
        <v>9</v>
      </c>
      <c r="B19" s="163" t="s">
        <v>32</v>
      </c>
      <c r="C19" s="163"/>
      <c r="D19" s="163"/>
      <c r="E19" s="163"/>
      <c r="F19" s="163"/>
      <c r="G19" s="180"/>
      <c r="H19" s="180"/>
      <c r="I19" s="180"/>
      <c r="J19" s="180"/>
      <c r="K19" s="180"/>
      <c r="L19" s="163"/>
      <c r="M19" s="163"/>
      <c r="N19" s="163"/>
      <c r="O19" s="163"/>
      <c r="P19" s="163" t="s">
        <v>72</v>
      </c>
      <c r="Q19" s="163"/>
      <c r="R19" s="163"/>
      <c r="S19" s="163"/>
      <c r="AC19" t="e">
        <f>CONCATENATE(#REF!,B19)</f>
        <v>#REF!</v>
      </c>
      <c r="AD19" t="str">
        <f t="shared" si="0"/>
        <v/>
      </c>
    </row>
    <row r="20" spans="1:30" x14ac:dyDescent="0.35">
      <c r="A20" s="162">
        <v>10</v>
      </c>
      <c r="B20" s="163" t="s">
        <v>33</v>
      </c>
      <c r="C20" s="183">
        <f>35.72</f>
        <v>35.72</v>
      </c>
      <c r="D20" s="226">
        <v>0</v>
      </c>
      <c r="E20" s="226">
        <v>0</v>
      </c>
      <c r="F20" s="226">
        <v>0</v>
      </c>
      <c r="G20" s="226">
        <f>C20+E20-F20</f>
        <v>35.72</v>
      </c>
      <c r="H20" s="183">
        <f>21.92-2</f>
        <v>19.920000000000002</v>
      </c>
      <c r="I20" s="183">
        <f>11.4+2</f>
        <v>13.4</v>
      </c>
      <c r="J20" s="183">
        <v>2.4</v>
      </c>
      <c r="K20" s="183">
        <f>SUM(H20:J20)</f>
        <v>35.72</v>
      </c>
      <c r="L20" s="183">
        <v>7239</v>
      </c>
      <c r="M20" s="183">
        <v>635</v>
      </c>
      <c r="N20" s="183">
        <f>O20*I20</f>
        <v>10234.92</v>
      </c>
      <c r="O20" s="174">
        <v>763.8</v>
      </c>
      <c r="P20" s="163" t="s">
        <v>72</v>
      </c>
      <c r="Q20" s="219">
        <f>64-28</f>
        <v>36</v>
      </c>
      <c r="R20" s="163"/>
      <c r="S20" s="163"/>
      <c r="V20">
        <v>2262.9</v>
      </c>
      <c r="W20">
        <v>198.5</v>
      </c>
      <c r="X20" s="28"/>
      <c r="Y20" s="28"/>
      <c r="AC20" t="e">
        <f>CONCATENATE(#REF!,B20)</f>
        <v>#REF!</v>
      </c>
      <c r="AD20">
        <f t="shared" si="0"/>
        <v>11.4</v>
      </c>
    </row>
    <row r="21" spans="1:30" x14ac:dyDescent="0.35">
      <c r="A21" s="162">
        <v>11</v>
      </c>
      <c r="B21" s="164" t="s">
        <v>96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63"/>
      <c r="Q21" s="163"/>
      <c r="R21" s="163"/>
      <c r="S21" s="163"/>
      <c r="AC21" t="e">
        <f>CONCATENATE(#REF!,B22)</f>
        <v>#REF!</v>
      </c>
      <c r="AD21" t="e">
        <f t="shared" ref="AD21:AD37" si="1">IF(L22="","",L22/M22)</f>
        <v>#DIV/0!</v>
      </c>
    </row>
    <row r="22" spans="1:30" x14ac:dyDescent="0.35">
      <c r="A22" s="162">
        <v>12</v>
      </c>
      <c r="B22" s="163" t="s">
        <v>34</v>
      </c>
      <c r="C22" s="183">
        <v>1.2</v>
      </c>
      <c r="D22" s="226">
        <v>0</v>
      </c>
      <c r="E22" s="226">
        <v>0</v>
      </c>
      <c r="F22" s="226">
        <v>0</v>
      </c>
      <c r="G22" s="226">
        <f t="shared" ref="G22:G24" si="2">C22+E22-F22</f>
        <v>1.2</v>
      </c>
      <c r="H22" s="183">
        <v>1.2</v>
      </c>
      <c r="I22" s="226">
        <v>0</v>
      </c>
      <c r="J22" s="226">
        <v>0</v>
      </c>
      <c r="K22" s="183">
        <f t="shared" ref="K22:K24" si="3">SUM(H22:J22)</f>
        <v>1.2</v>
      </c>
      <c r="L22" s="226" t="s">
        <v>92</v>
      </c>
      <c r="M22" s="226">
        <v>0</v>
      </c>
      <c r="N22" s="226">
        <v>0</v>
      </c>
      <c r="O22" s="226">
        <v>0</v>
      </c>
      <c r="P22" s="163" t="s">
        <v>73</v>
      </c>
      <c r="Q22" s="219">
        <f>42+100</f>
        <v>142</v>
      </c>
      <c r="R22" s="163"/>
      <c r="S22" s="163"/>
      <c r="V22">
        <v>0</v>
      </c>
      <c r="W22">
        <v>0</v>
      </c>
      <c r="AC22" t="e">
        <f>CONCATENATE(#REF!,B23)</f>
        <v>#REF!</v>
      </c>
      <c r="AD22">
        <f t="shared" si="1"/>
        <v>566</v>
      </c>
    </row>
    <row r="23" spans="1:30" x14ac:dyDescent="0.35">
      <c r="A23" s="162">
        <v>13</v>
      </c>
      <c r="B23" s="163" t="s">
        <v>35</v>
      </c>
      <c r="C23" s="183">
        <v>1557</v>
      </c>
      <c r="D23" s="226">
        <v>0</v>
      </c>
      <c r="E23" s="226">
        <v>0</v>
      </c>
      <c r="F23" s="226">
        <v>0</v>
      </c>
      <c r="G23" s="226">
        <f t="shared" si="2"/>
        <v>1557</v>
      </c>
      <c r="H23" s="183">
        <f>623.5-60</f>
        <v>563.5</v>
      </c>
      <c r="I23" s="183">
        <f>566+60</f>
        <v>626</v>
      </c>
      <c r="J23" s="183">
        <v>367.5</v>
      </c>
      <c r="K23" s="183">
        <f t="shared" si="3"/>
        <v>1557</v>
      </c>
      <c r="L23" s="183">
        <v>679200</v>
      </c>
      <c r="M23" s="183">
        <v>1200</v>
      </c>
      <c r="N23" s="183">
        <f>O23*I23</f>
        <v>857620</v>
      </c>
      <c r="O23" s="174">
        <v>1370</v>
      </c>
      <c r="P23" s="163" t="s">
        <v>74</v>
      </c>
      <c r="Q23" s="233">
        <f>2521+200</f>
        <v>2721</v>
      </c>
      <c r="R23" s="234"/>
      <c r="S23" s="163"/>
      <c r="V23">
        <v>162385.4</v>
      </c>
      <c r="W23">
        <v>286.89999999999998</v>
      </c>
      <c r="AC23" t="e">
        <f>CONCATENATE(#REF!,B24)</f>
        <v>#REF!</v>
      </c>
      <c r="AD23">
        <f t="shared" si="1"/>
        <v>174</v>
      </c>
    </row>
    <row r="24" spans="1:30" x14ac:dyDescent="0.35">
      <c r="A24" s="162">
        <v>14</v>
      </c>
      <c r="B24" s="163" t="s">
        <v>36</v>
      </c>
      <c r="C24" s="183">
        <v>181.5</v>
      </c>
      <c r="D24" s="226">
        <v>0</v>
      </c>
      <c r="E24" s="226">
        <v>0</v>
      </c>
      <c r="F24" s="226">
        <v>0</v>
      </c>
      <c r="G24" s="226">
        <f t="shared" si="2"/>
        <v>181.5</v>
      </c>
      <c r="H24" s="226">
        <v>0</v>
      </c>
      <c r="I24" s="183">
        <v>174</v>
      </c>
      <c r="J24" s="183">
        <v>7.5</v>
      </c>
      <c r="K24" s="183">
        <f t="shared" si="3"/>
        <v>181.5</v>
      </c>
      <c r="L24" s="174">
        <v>1666307.52</v>
      </c>
      <c r="M24" s="183">
        <v>9576.48</v>
      </c>
      <c r="N24" s="183">
        <f>O24*I24</f>
        <v>1650564</v>
      </c>
      <c r="O24" s="174">
        <v>9486</v>
      </c>
      <c r="P24" s="163" t="s">
        <v>75</v>
      </c>
      <c r="Q24" s="233">
        <f>1487-800</f>
        <v>687</v>
      </c>
      <c r="R24" s="234"/>
      <c r="S24" s="163"/>
      <c r="V24">
        <v>397590</v>
      </c>
      <c r="W24">
        <v>2285</v>
      </c>
      <c r="AC24" t="e">
        <f>CONCATENATE(#REF!,B25)</f>
        <v>#REF!</v>
      </c>
      <c r="AD24" t="str">
        <f t="shared" si="1"/>
        <v/>
      </c>
    </row>
    <row r="25" spans="1:30" x14ac:dyDescent="0.35">
      <c r="A25" s="162">
        <v>15</v>
      </c>
      <c r="B25" s="163" t="s">
        <v>37</v>
      </c>
      <c r="C25" s="162"/>
      <c r="D25" s="162"/>
      <c r="E25" s="162"/>
      <c r="F25" s="162"/>
      <c r="G25" s="174"/>
      <c r="H25" s="174"/>
      <c r="I25" s="174"/>
      <c r="J25" s="174"/>
      <c r="K25" s="174"/>
      <c r="L25" s="162"/>
      <c r="M25" s="162"/>
      <c r="N25" s="162"/>
      <c r="O25" s="162"/>
      <c r="P25" s="163" t="s">
        <v>74</v>
      </c>
      <c r="Q25" s="163"/>
      <c r="R25" s="163"/>
      <c r="S25" s="163"/>
      <c r="AC25" t="e">
        <f>CONCATENATE(#REF!,B26)</f>
        <v>#REF!</v>
      </c>
      <c r="AD25" t="str">
        <f t="shared" si="1"/>
        <v/>
      </c>
    </row>
    <row r="26" spans="1:30" x14ac:dyDescent="0.35">
      <c r="A26" s="162">
        <v>16</v>
      </c>
      <c r="B26" s="163" t="s">
        <v>38</v>
      </c>
      <c r="C26" s="163"/>
      <c r="D26" s="163"/>
      <c r="E26" s="163"/>
      <c r="F26" s="163"/>
      <c r="G26" s="180"/>
      <c r="H26" s="180"/>
      <c r="I26" s="180"/>
      <c r="J26" s="180"/>
      <c r="K26" s="180"/>
      <c r="L26" s="163"/>
      <c r="M26" s="163"/>
      <c r="N26" s="163"/>
      <c r="O26" s="163"/>
      <c r="P26" s="163" t="s">
        <v>76</v>
      </c>
      <c r="Q26" s="163"/>
      <c r="R26" s="163"/>
      <c r="S26" s="163"/>
      <c r="AC26" t="e">
        <f>CONCATENATE(#REF!,B27)</f>
        <v>#REF!</v>
      </c>
      <c r="AD26" t="str">
        <f t="shared" si="1"/>
        <v/>
      </c>
    </row>
    <row r="27" spans="1:30" x14ac:dyDescent="0.35">
      <c r="A27" s="162">
        <v>17</v>
      </c>
      <c r="B27" s="163" t="s">
        <v>39</v>
      </c>
      <c r="C27" s="163"/>
      <c r="D27" s="163"/>
      <c r="E27" s="163"/>
      <c r="F27" s="163"/>
      <c r="G27" s="180"/>
      <c r="H27" s="180"/>
      <c r="I27" s="180"/>
      <c r="J27" s="180"/>
      <c r="K27" s="180"/>
      <c r="L27" s="163"/>
      <c r="M27" s="163"/>
      <c r="N27" s="163"/>
      <c r="O27" s="163"/>
      <c r="P27" s="163" t="s">
        <v>77</v>
      </c>
      <c r="Q27" s="163"/>
      <c r="R27" s="163"/>
      <c r="S27" s="163"/>
      <c r="AC27" t="e">
        <f>CONCATENATE(#REF!,B28)</f>
        <v>#REF!</v>
      </c>
      <c r="AD27" t="str">
        <f t="shared" si="1"/>
        <v/>
      </c>
    </row>
    <row r="28" spans="1:30" x14ac:dyDescent="0.35">
      <c r="A28" s="162">
        <v>18</v>
      </c>
      <c r="B28" s="163" t="s">
        <v>40</v>
      </c>
      <c r="C28" s="163"/>
      <c r="D28" s="163"/>
      <c r="E28" s="163"/>
      <c r="F28" s="163"/>
      <c r="G28" s="180"/>
      <c r="H28" s="180"/>
      <c r="I28" s="180"/>
      <c r="J28" s="180"/>
      <c r="K28" s="180"/>
      <c r="L28" s="163"/>
      <c r="M28" s="163"/>
      <c r="N28" s="163"/>
      <c r="O28" s="163"/>
      <c r="P28" s="163" t="s">
        <v>78</v>
      </c>
      <c r="Q28" s="163"/>
      <c r="R28" s="163"/>
      <c r="S28" s="163"/>
      <c r="AC28" t="e">
        <f>CONCATENATE(#REF!,B29)</f>
        <v>#REF!</v>
      </c>
      <c r="AD28" t="str">
        <f t="shared" si="1"/>
        <v/>
      </c>
    </row>
    <row r="29" spans="1:30" x14ac:dyDescent="0.35">
      <c r="A29" s="162">
        <v>19</v>
      </c>
      <c r="B29" s="163" t="s">
        <v>41</v>
      </c>
      <c r="C29" s="163"/>
      <c r="D29" s="163"/>
      <c r="E29" s="163"/>
      <c r="F29" s="163"/>
      <c r="G29" s="180"/>
      <c r="H29" s="180"/>
      <c r="I29" s="180"/>
      <c r="J29" s="180"/>
      <c r="K29" s="180"/>
      <c r="L29" s="163"/>
      <c r="M29" s="163"/>
      <c r="N29" s="163"/>
      <c r="O29" s="163"/>
      <c r="P29" s="163" t="s">
        <v>79</v>
      </c>
      <c r="Q29" s="163"/>
      <c r="R29" s="163"/>
      <c r="S29" s="163"/>
      <c r="AC29" t="e">
        <f>CONCATENATE(#REF!,B30)</f>
        <v>#REF!</v>
      </c>
      <c r="AD29" t="str">
        <f t="shared" si="1"/>
        <v/>
      </c>
    </row>
    <row r="30" spans="1:30" x14ac:dyDescent="0.35">
      <c r="A30" s="162">
        <v>20</v>
      </c>
      <c r="B30" s="163" t="s">
        <v>42</v>
      </c>
      <c r="C30" s="163"/>
      <c r="D30" s="163"/>
      <c r="E30" s="163"/>
      <c r="F30" s="163"/>
      <c r="G30" s="180"/>
      <c r="H30" s="180"/>
      <c r="I30" s="180"/>
      <c r="J30" s="180"/>
      <c r="K30" s="180"/>
      <c r="L30" s="163"/>
      <c r="M30" s="163"/>
      <c r="N30" s="163"/>
      <c r="O30" s="163"/>
      <c r="P30" s="163" t="s">
        <v>80</v>
      </c>
      <c r="Q30" s="163"/>
      <c r="R30" s="163"/>
      <c r="S30" s="163"/>
      <c r="AC30" t="e">
        <f>CONCATENATE(#REF!,B31)</f>
        <v>#REF!</v>
      </c>
      <c r="AD30" t="str">
        <f t="shared" si="1"/>
        <v/>
      </c>
    </row>
    <row r="31" spans="1:30" x14ac:dyDescent="0.35">
      <c r="A31" s="162">
        <v>21</v>
      </c>
      <c r="B31" s="163" t="s">
        <v>43</v>
      </c>
      <c r="C31" s="163"/>
      <c r="D31" s="163"/>
      <c r="E31" s="163"/>
      <c r="F31" s="163"/>
      <c r="G31" s="180"/>
      <c r="H31" s="180"/>
      <c r="I31" s="180"/>
      <c r="J31" s="180"/>
      <c r="K31" s="180"/>
      <c r="L31" s="163"/>
      <c r="M31" s="163"/>
      <c r="N31" s="163"/>
      <c r="O31" s="163"/>
      <c r="P31" s="163" t="s">
        <v>69</v>
      </c>
      <c r="Q31" s="163"/>
      <c r="R31" s="163"/>
      <c r="S31" s="163"/>
      <c r="AC31" t="e">
        <f>CONCATENATE(#REF!,B32)</f>
        <v>#REF!</v>
      </c>
      <c r="AD31" t="str">
        <f t="shared" si="1"/>
        <v/>
      </c>
    </row>
    <row r="32" spans="1:30" x14ac:dyDescent="0.35">
      <c r="A32" s="162">
        <v>22</v>
      </c>
      <c r="B32" s="163" t="s">
        <v>44</v>
      </c>
      <c r="C32" s="163"/>
      <c r="D32" s="163"/>
      <c r="E32" s="163"/>
      <c r="F32" s="163"/>
      <c r="G32" s="180"/>
      <c r="H32" s="180"/>
      <c r="I32" s="180"/>
      <c r="J32" s="180"/>
      <c r="K32" s="180"/>
      <c r="L32" s="163"/>
      <c r="M32" s="163"/>
      <c r="N32" s="163"/>
      <c r="O32" s="163"/>
      <c r="P32" s="163" t="s">
        <v>81</v>
      </c>
      <c r="Q32" s="163"/>
      <c r="R32" s="163"/>
      <c r="S32" s="163"/>
      <c r="AC32" t="e">
        <f>CONCATENATE(#REF!,B33)</f>
        <v>#REF!</v>
      </c>
      <c r="AD32" t="str">
        <f t="shared" si="1"/>
        <v/>
      </c>
    </row>
    <row r="33" spans="1:30" x14ac:dyDescent="0.35">
      <c r="A33" s="162">
        <v>23</v>
      </c>
      <c r="B33" s="163" t="s">
        <v>45</v>
      </c>
      <c r="C33" s="163"/>
      <c r="D33" s="163"/>
      <c r="E33" s="163"/>
      <c r="F33" s="163"/>
      <c r="G33" s="180"/>
      <c r="H33" s="180"/>
      <c r="I33" s="180"/>
      <c r="J33" s="180"/>
      <c r="K33" s="180"/>
      <c r="L33" s="163"/>
      <c r="M33" s="163"/>
      <c r="N33" s="163"/>
      <c r="O33" s="163"/>
      <c r="P33" s="163" t="s">
        <v>81</v>
      </c>
      <c r="Q33" s="163"/>
      <c r="R33" s="163"/>
      <c r="S33" s="163"/>
      <c r="AC33" t="e">
        <f>CONCATENATE(#REF!,B34)</f>
        <v>#REF!</v>
      </c>
      <c r="AD33" t="str">
        <f t="shared" si="1"/>
        <v/>
      </c>
    </row>
    <row r="34" spans="1:30" x14ac:dyDescent="0.35">
      <c r="A34" s="162">
        <v>24</v>
      </c>
      <c r="B34" s="163" t="s">
        <v>46</v>
      </c>
      <c r="C34" s="163"/>
      <c r="D34" s="163"/>
      <c r="E34" s="163"/>
      <c r="F34" s="163"/>
      <c r="G34" s="180"/>
      <c r="H34" s="180"/>
      <c r="I34" s="180"/>
      <c r="J34" s="180"/>
      <c r="K34" s="180"/>
      <c r="L34" s="163"/>
      <c r="M34" s="163"/>
      <c r="N34" s="163"/>
      <c r="O34" s="163"/>
      <c r="P34" s="163" t="s">
        <v>72</v>
      </c>
      <c r="Q34" s="163"/>
      <c r="R34" s="163"/>
      <c r="S34" s="163"/>
      <c r="AC34" t="e">
        <f>CONCATENATE(#REF!,B35)</f>
        <v>#REF!</v>
      </c>
      <c r="AD34" t="str">
        <f t="shared" si="1"/>
        <v/>
      </c>
    </row>
    <row r="35" spans="1:30" x14ac:dyDescent="0.35">
      <c r="A35" s="162">
        <v>25</v>
      </c>
      <c r="B35" s="163" t="s">
        <v>47</v>
      </c>
      <c r="C35" s="163"/>
      <c r="D35" s="163"/>
      <c r="E35" s="163"/>
      <c r="F35" s="163"/>
      <c r="G35" s="180"/>
      <c r="H35" s="180"/>
      <c r="I35" s="180"/>
      <c r="J35" s="180"/>
      <c r="K35" s="180"/>
      <c r="L35" s="163"/>
      <c r="M35" s="163"/>
      <c r="N35" s="163"/>
      <c r="O35" s="163"/>
      <c r="P35" s="163" t="s">
        <v>75</v>
      </c>
      <c r="Q35" s="163"/>
      <c r="R35" s="163"/>
      <c r="S35" s="163"/>
      <c r="AC35" t="e">
        <f>CONCATENATE(#REF!,B36)</f>
        <v>#REF!</v>
      </c>
      <c r="AD35" t="str">
        <f t="shared" si="1"/>
        <v/>
      </c>
    </row>
    <row r="36" spans="1:30" x14ac:dyDescent="0.35">
      <c r="A36" s="162">
        <v>26</v>
      </c>
      <c r="B36" s="163" t="s">
        <v>48</v>
      </c>
      <c r="C36" s="163"/>
      <c r="D36" s="163"/>
      <c r="E36" s="163"/>
      <c r="F36" s="163"/>
      <c r="G36" s="180"/>
      <c r="H36" s="180"/>
      <c r="I36" s="180"/>
      <c r="J36" s="180"/>
      <c r="K36" s="180"/>
      <c r="L36" s="163"/>
      <c r="M36" s="163"/>
      <c r="N36" s="163"/>
      <c r="O36" s="163"/>
      <c r="P36" s="163" t="s">
        <v>72</v>
      </c>
      <c r="Q36" s="163"/>
      <c r="R36" s="163"/>
      <c r="S36" s="163"/>
      <c r="AC36" t="e">
        <f>CONCATENATE(#REF!,B37)</f>
        <v>#REF!</v>
      </c>
      <c r="AD36" t="str">
        <f t="shared" si="1"/>
        <v/>
      </c>
    </row>
    <row r="37" spans="1:30" x14ac:dyDescent="0.35">
      <c r="A37" s="162">
        <v>27</v>
      </c>
      <c r="B37" s="163" t="s">
        <v>49</v>
      </c>
      <c r="C37" s="163"/>
      <c r="D37" s="163"/>
      <c r="E37" s="163"/>
      <c r="F37" s="163"/>
      <c r="G37" s="180"/>
      <c r="H37" s="180"/>
      <c r="I37" s="180"/>
      <c r="J37" s="180"/>
      <c r="K37" s="180"/>
      <c r="L37" s="163"/>
      <c r="M37" s="163"/>
      <c r="N37" s="163"/>
      <c r="O37" s="163"/>
      <c r="P37" s="163" t="s">
        <v>84</v>
      </c>
      <c r="Q37" s="163"/>
      <c r="R37" s="163"/>
      <c r="S37" s="163"/>
      <c r="AC37" t="e">
        <f>CONCATENATE(#REF!,B38)</f>
        <v>#REF!</v>
      </c>
      <c r="AD37" t="str">
        <f t="shared" si="1"/>
        <v/>
      </c>
    </row>
    <row r="38" spans="1:30" x14ac:dyDescent="0.35">
      <c r="A38" s="162">
        <v>28</v>
      </c>
      <c r="B38" s="163" t="s">
        <v>50</v>
      </c>
      <c r="C38" s="163"/>
      <c r="D38" s="163"/>
      <c r="E38" s="163"/>
      <c r="F38" s="163"/>
      <c r="G38" s="180"/>
      <c r="H38" s="180"/>
      <c r="I38" s="180"/>
      <c r="J38" s="180"/>
      <c r="K38" s="180"/>
      <c r="L38" s="163"/>
      <c r="M38" s="163"/>
      <c r="N38" s="163"/>
      <c r="O38" s="163"/>
      <c r="P38" s="163" t="s">
        <v>77</v>
      </c>
      <c r="Q38" s="163"/>
      <c r="R38" s="163"/>
      <c r="S38" s="163"/>
      <c r="AC38" t="e">
        <f>CONCATENATE(#REF!,#REF!)</f>
        <v>#REF!</v>
      </c>
    </row>
    <row r="39" spans="1:30" x14ac:dyDescent="0.35">
      <c r="A39" s="162">
        <v>29</v>
      </c>
      <c r="B39" s="163" t="s">
        <v>51</v>
      </c>
      <c r="C39" s="163"/>
      <c r="D39" s="163"/>
      <c r="E39" s="163"/>
      <c r="F39" s="163"/>
      <c r="G39" s="180"/>
      <c r="H39" s="180"/>
      <c r="I39" s="180"/>
      <c r="J39" s="180"/>
      <c r="K39" s="180"/>
      <c r="L39" s="163"/>
      <c r="M39" s="163"/>
      <c r="N39" s="163"/>
      <c r="O39" s="163"/>
      <c r="P39" s="163" t="s">
        <v>82</v>
      </c>
      <c r="Q39" s="163"/>
      <c r="R39" s="163"/>
      <c r="S39" s="163"/>
      <c r="AC39" t="e">
        <f>CONCATENATE(#REF!,B40)</f>
        <v>#REF!</v>
      </c>
      <c r="AD39" t="str">
        <f>IF(L40="","",L40/M40)</f>
        <v/>
      </c>
    </row>
    <row r="40" spans="1:30" x14ac:dyDescent="0.35">
      <c r="A40" s="162">
        <v>30</v>
      </c>
      <c r="B40" s="163" t="s">
        <v>52</v>
      </c>
      <c r="C40" s="163"/>
      <c r="D40" s="163"/>
      <c r="E40" s="163"/>
      <c r="F40" s="163"/>
      <c r="G40" s="180"/>
      <c r="H40" s="180"/>
      <c r="I40" s="180"/>
      <c r="J40" s="180"/>
      <c r="K40" s="180"/>
      <c r="L40" s="163"/>
      <c r="M40" s="163"/>
      <c r="N40" s="163"/>
      <c r="O40" s="163"/>
      <c r="P40" s="163" t="s">
        <v>83</v>
      </c>
      <c r="Q40" s="163"/>
      <c r="R40" s="163"/>
      <c r="S40" s="163"/>
    </row>
    <row r="41" spans="1:30" x14ac:dyDescent="0.35">
      <c r="A41" s="230"/>
      <c r="B41" s="230"/>
      <c r="C41" s="230"/>
      <c r="D41" s="230"/>
      <c r="E41" s="230"/>
      <c r="F41" s="230"/>
      <c r="G41" s="231"/>
      <c r="H41" s="231"/>
      <c r="I41" s="231"/>
      <c r="J41" s="231"/>
      <c r="K41" s="231"/>
      <c r="L41" s="230"/>
      <c r="M41" s="230"/>
      <c r="N41" s="230"/>
      <c r="O41" s="230"/>
      <c r="P41" s="230"/>
      <c r="Q41" s="230"/>
      <c r="R41" s="230"/>
      <c r="S41" s="230"/>
    </row>
    <row r="42" spans="1:30" x14ac:dyDescent="0.35">
      <c r="A42" s="230"/>
      <c r="B42" s="230"/>
      <c r="C42" s="299" t="s">
        <v>111</v>
      </c>
      <c r="D42" s="299"/>
      <c r="E42" s="230"/>
      <c r="F42" s="230"/>
      <c r="G42" s="231"/>
      <c r="H42" s="231"/>
      <c r="I42" s="231"/>
      <c r="J42" s="231"/>
      <c r="K42" s="231"/>
      <c r="L42" s="230"/>
      <c r="M42" s="230"/>
      <c r="N42" s="230"/>
      <c r="O42" s="230"/>
      <c r="P42" s="230"/>
      <c r="Q42" s="230"/>
      <c r="R42" s="230"/>
      <c r="S42" s="230"/>
    </row>
    <row r="43" spans="1:30" x14ac:dyDescent="0.35">
      <c r="A43" s="230"/>
      <c r="B43" s="230"/>
      <c r="C43" s="299" t="s">
        <v>112</v>
      </c>
      <c r="D43" s="299"/>
      <c r="E43" s="230"/>
      <c r="F43" s="230"/>
      <c r="G43" s="231"/>
      <c r="H43" s="231"/>
      <c r="I43" s="231"/>
      <c r="J43" s="231"/>
      <c r="K43" s="231"/>
      <c r="L43" s="230"/>
      <c r="M43" s="230"/>
      <c r="N43" s="230"/>
      <c r="O43" s="230"/>
      <c r="P43" s="299" t="s">
        <v>110</v>
      </c>
      <c r="Q43" s="299"/>
      <c r="R43" s="299"/>
      <c r="S43" s="230"/>
    </row>
    <row r="44" spans="1:30" x14ac:dyDescent="0.35">
      <c r="A44" s="230"/>
      <c r="B44" s="230"/>
      <c r="C44" s="232"/>
      <c r="D44" s="232"/>
      <c r="E44" s="230"/>
      <c r="F44" s="230"/>
      <c r="G44" s="231"/>
      <c r="H44" s="231"/>
      <c r="I44" s="231"/>
      <c r="J44" s="231"/>
      <c r="K44" s="231"/>
      <c r="L44" s="230"/>
      <c r="M44" s="230"/>
      <c r="N44" s="230"/>
      <c r="O44" s="230"/>
      <c r="P44" s="232"/>
      <c r="Q44" s="232"/>
      <c r="R44" s="232"/>
      <c r="S44" s="230"/>
    </row>
    <row r="45" spans="1:30" x14ac:dyDescent="0.35">
      <c r="A45" s="230"/>
      <c r="B45" s="230"/>
      <c r="C45" s="232"/>
      <c r="D45" s="232"/>
      <c r="E45" s="230"/>
      <c r="F45" s="230"/>
      <c r="G45" s="231"/>
      <c r="H45" s="231"/>
      <c r="I45" s="231"/>
      <c r="J45" s="231"/>
      <c r="K45" s="231"/>
      <c r="L45" s="230"/>
      <c r="M45" s="230"/>
      <c r="N45" s="230"/>
      <c r="O45" s="230"/>
      <c r="P45" s="232"/>
      <c r="Q45" s="232"/>
      <c r="R45" s="232"/>
      <c r="S45" s="230"/>
    </row>
    <row r="46" spans="1:30" x14ac:dyDescent="0.35">
      <c r="A46" s="230"/>
      <c r="B46" s="230"/>
      <c r="C46" s="232"/>
      <c r="D46" s="232"/>
      <c r="E46" s="230"/>
      <c r="F46" s="230"/>
      <c r="G46" s="231"/>
      <c r="H46" s="231"/>
      <c r="I46" s="231"/>
      <c r="J46" s="231"/>
      <c r="K46" s="231"/>
      <c r="L46" s="230"/>
      <c r="M46" s="230"/>
      <c r="N46" s="230"/>
      <c r="O46" s="230"/>
      <c r="P46" s="232"/>
      <c r="Q46" s="232"/>
      <c r="R46" s="232"/>
      <c r="S46" s="230"/>
    </row>
    <row r="47" spans="1:30" x14ac:dyDescent="0.35">
      <c r="A47" s="230"/>
      <c r="B47" s="230"/>
      <c r="C47" s="298" t="s">
        <v>127</v>
      </c>
      <c r="D47" s="298"/>
      <c r="E47" s="230"/>
      <c r="F47" s="230"/>
      <c r="G47" s="231"/>
      <c r="H47" s="231"/>
      <c r="I47" s="231"/>
      <c r="J47" s="231"/>
      <c r="K47" s="231"/>
      <c r="L47" s="230"/>
      <c r="M47" s="230"/>
      <c r="N47" s="230"/>
      <c r="O47" s="230"/>
      <c r="P47" s="298" t="s">
        <v>129</v>
      </c>
      <c r="Q47" s="298"/>
      <c r="R47" s="298"/>
      <c r="S47" s="230"/>
    </row>
    <row r="48" spans="1:30" x14ac:dyDescent="0.35">
      <c r="A48" s="230"/>
      <c r="B48" s="230"/>
      <c r="C48" s="299" t="s">
        <v>128</v>
      </c>
      <c r="D48" s="299"/>
      <c r="E48" s="230"/>
      <c r="F48" s="230"/>
      <c r="G48" s="231"/>
      <c r="H48" s="231"/>
      <c r="I48" s="231"/>
      <c r="J48" s="231"/>
      <c r="K48" s="231"/>
      <c r="L48" s="230"/>
      <c r="M48" s="230"/>
      <c r="N48" s="230"/>
      <c r="O48" s="230"/>
      <c r="P48" s="299" t="s">
        <v>130</v>
      </c>
      <c r="Q48" s="299"/>
      <c r="R48" s="299"/>
      <c r="S48" s="230"/>
    </row>
    <row r="49" spans="1:19" x14ac:dyDescent="0.35">
      <c r="A49" s="151"/>
      <c r="B49" s="151"/>
      <c r="C49" s="151"/>
      <c r="D49" s="151"/>
      <c r="E49" s="151"/>
      <c r="F49" s="151"/>
      <c r="G49" s="152"/>
      <c r="H49" s="152"/>
      <c r="I49" s="152"/>
      <c r="J49" s="152"/>
      <c r="K49" s="152"/>
      <c r="L49" s="151"/>
      <c r="M49" s="151"/>
      <c r="N49" s="151"/>
      <c r="O49" s="151"/>
      <c r="P49" s="190"/>
      <c r="Q49" s="190"/>
      <c r="R49" s="190"/>
      <c r="S49" s="151"/>
    </row>
  </sheetData>
  <mergeCells count="20">
    <mergeCell ref="C42:D42"/>
    <mergeCell ref="C43:D43"/>
    <mergeCell ref="C47:D47"/>
    <mergeCell ref="C48:D48"/>
    <mergeCell ref="P43:R43"/>
    <mergeCell ref="P47:R47"/>
    <mergeCell ref="P48:R48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  <mergeCell ref="Q8:R9"/>
    <mergeCell ref="P8:P10"/>
    <mergeCell ref="S8:S10"/>
  </mergeCells>
  <pageMargins left="0.5" right="0.761811024" top="0.31496062992126" bottom="0.31496062992126" header="0.196850393700787" footer="0.23622047244094499"/>
  <pageSetup paperSize="5" scale="75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AG49"/>
  <sheetViews>
    <sheetView topLeftCell="A4" zoomScale="90" zoomScaleNormal="90" workbookViewId="0">
      <selection activeCell="O25" sqref="O25"/>
    </sheetView>
  </sheetViews>
  <sheetFormatPr defaultRowHeight="14.5" x14ac:dyDescent="0.35"/>
  <cols>
    <col min="1" max="1" width="4.26953125" customWidth="1"/>
    <col min="2" max="2" width="22.26953125" customWidth="1"/>
    <col min="3" max="3" width="13.81640625" customWidth="1"/>
    <col min="4" max="4" width="10.7265625" customWidth="1"/>
    <col min="5" max="5" width="13.7265625" bestFit="1" customWidth="1"/>
    <col min="6" max="6" width="12.7265625" bestFit="1" customWidth="1"/>
    <col min="7" max="7" width="11.26953125" style="32" bestFit="1" customWidth="1"/>
    <col min="8" max="10" width="9.453125" style="32" bestFit="1" customWidth="1"/>
    <col min="11" max="11" width="11" style="32" customWidth="1"/>
    <col min="12" max="12" width="15.7265625" style="32" bestFit="1" customWidth="1"/>
    <col min="13" max="13" width="12.1796875" customWidth="1"/>
    <col min="14" max="14" width="14.54296875" bestFit="1" customWidth="1"/>
    <col min="15" max="15" width="12" customWidth="1"/>
    <col min="16" max="16" width="17.54296875" customWidth="1"/>
    <col min="17" max="17" width="13.7265625" customWidth="1"/>
    <col min="18" max="18" width="7" customWidth="1"/>
    <col min="19" max="20" width="6.81640625" customWidth="1"/>
    <col min="22" max="22" width="14.7265625" customWidth="1"/>
    <col min="23" max="23" width="12.81640625" customWidth="1"/>
    <col min="25" max="25" width="15" customWidth="1"/>
    <col min="26" max="26" width="10" bestFit="1" customWidth="1"/>
    <col min="32" max="33" width="9.1796875" hidden="1" customWidth="1"/>
  </cols>
  <sheetData>
    <row r="1" spans="1:33" x14ac:dyDescent="0.35">
      <c r="A1" s="1" t="s">
        <v>57</v>
      </c>
      <c r="G1" s="30"/>
      <c r="H1" s="30"/>
      <c r="I1" s="30"/>
      <c r="J1" s="30"/>
      <c r="K1" s="30"/>
      <c r="L1" s="30"/>
    </row>
    <row r="2" spans="1:33" x14ac:dyDescent="0.35">
      <c r="A2" s="2"/>
      <c r="G2" s="30"/>
      <c r="H2" s="30"/>
      <c r="I2" s="30"/>
      <c r="J2" s="30"/>
      <c r="K2" s="30"/>
      <c r="L2" s="30"/>
    </row>
    <row r="3" spans="1:33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113"/>
    </row>
    <row r="4" spans="1:33" x14ac:dyDescent="0.35">
      <c r="A4" s="1"/>
      <c r="G4" s="30"/>
      <c r="H4" s="30"/>
      <c r="I4" s="30"/>
      <c r="J4" s="30"/>
      <c r="K4" s="30"/>
      <c r="L4" s="30"/>
      <c r="R4" s="5"/>
      <c r="S4" s="6"/>
      <c r="T4" s="6"/>
    </row>
    <row r="5" spans="1:33" x14ac:dyDescent="0.35">
      <c r="A5" s="153" t="s">
        <v>175</v>
      </c>
      <c r="B5" s="151"/>
      <c r="C5" s="151" t="s">
        <v>189</v>
      </c>
      <c r="D5" s="151"/>
      <c r="E5" s="151"/>
      <c r="F5" s="151"/>
      <c r="G5" s="154"/>
      <c r="H5" s="154"/>
      <c r="I5" s="154"/>
      <c r="J5" s="154"/>
      <c r="K5" s="154"/>
      <c r="L5" s="154"/>
      <c r="M5" s="151"/>
      <c r="N5" s="151"/>
      <c r="O5" s="151"/>
      <c r="P5" s="151"/>
      <c r="Q5" s="151" t="s">
        <v>181</v>
      </c>
      <c r="R5" s="153" t="s">
        <v>182</v>
      </c>
      <c r="S5" s="151"/>
    </row>
    <row r="6" spans="1:33" x14ac:dyDescent="0.35">
      <c r="A6" s="153" t="s">
        <v>176</v>
      </c>
      <c r="B6" s="151"/>
      <c r="C6" s="151" t="s">
        <v>172</v>
      </c>
      <c r="D6" s="151"/>
      <c r="E6" s="151"/>
      <c r="F6" s="151"/>
      <c r="G6" s="154"/>
      <c r="H6" s="154"/>
      <c r="I6" s="154"/>
      <c r="J6" s="154"/>
      <c r="K6" s="154"/>
      <c r="L6" s="154"/>
      <c r="M6" s="151"/>
      <c r="N6" s="173" t="s">
        <v>94</v>
      </c>
      <c r="O6" s="151"/>
      <c r="P6" s="151"/>
      <c r="Q6" s="151" t="s">
        <v>180</v>
      </c>
      <c r="R6" s="153" t="s">
        <v>203</v>
      </c>
      <c r="S6" s="151"/>
      <c r="V6" t="s">
        <v>94</v>
      </c>
    </row>
    <row r="7" spans="1:33" x14ac:dyDescent="0.35">
      <c r="A7" s="153" t="s">
        <v>177</v>
      </c>
      <c r="B7" s="151"/>
      <c r="C7" s="151" t="s">
        <v>174</v>
      </c>
      <c r="D7" s="151"/>
      <c r="E7" s="151"/>
      <c r="F7" s="151"/>
      <c r="G7" s="154"/>
      <c r="H7" s="154"/>
      <c r="I7" s="154"/>
      <c r="J7" s="154"/>
      <c r="K7" s="154"/>
      <c r="L7" s="154"/>
      <c r="M7" s="151"/>
      <c r="N7" s="151"/>
      <c r="O7" s="151"/>
      <c r="P7" s="151"/>
      <c r="Q7" s="151"/>
      <c r="R7" s="151"/>
      <c r="S7" s="151"/>
    </row>
    <row r="8" spans="1:33" s="11" customFormat="1" x14ac:dyDescent="0.35">
      <c r="A8" s="283" t="s">
        <v>3</v>
      </c>
      <c r="B8" s="283" t="s">
        <v>4</v>
      </c>
      <c r="C8" s="283" t="s">
        <v>23</v>
      </c>
      <c r="D8" s="283" t="s">
        <v>6</v>
      </c>
      <c r="E8" s="283"/>
      <c r="F8" s="283"/>
      <c r="G8" s="283"/>
      <c r="H8" s="283"/>
      <c r="I8" s="283"/>
      <c r="J8" s="283"/>
      <c r="K8" s="283"/>
      <c r="L8" s="283" t="s">
        <v>22</v>
      </c>
      <c r="M8" s="283"/>
      <c r="N8" s="283"/>
      <c r="O8" s="283"/>
      <c r="P8" s="155"/>
      <c r="Q8" s="156"/>
      <c r="R8" s="157"/>
      <c r="S8" s="155"/>
      <c r="AF8" s="11" t="s">
        <v>54</v>
      </c>
      <c r="AG8" s="11" t="s">
        <v>54</v>
      </c>
    </row>
    <row r="9" spans="1:33" s="11" customFormat="1" ht="29" x14ac:dyDescent="0.35">
      <c r="A9" s="283"/>
      <c r="B9" s="283"/>
      <c r="C9" s="283"/>
      <c r="D9" s="284" t="s">
        <v>7</v>
      </c>
      <c r="E9" s="284"/>
      <c r="F9" s="284"/>
      <c r="G9" s="284"/>
      <c r="H9" s="294" t="s">
        <v>12</v>
      </c>
      <c r="I9" s="294"/>
      <c r="J9" s="294"/>
      <c r="K9" s="294"/>
      <c r="L9" s="284" t="s">
        <v>13</v>
      </c>
      <c r="M9" s="284"/>
      <c r="N9" s="284" t="s">
        <v>15</v>
      </c>
      <c r="O9" s="284"/>
      <c r="P9" s="158"/>
      <c r="Q9" s="281" t="s">
        <v>17</v>
      </c>
      <c r="R9" s="282"/>
      <c r="S9" s="158" t="s">
        <v>104</v>
      </c>
      <c r="T9" s="114"/>
      <c r="V9" s="11" t="s">
        <v>15</v>
      </c>
      <c r="AF9" s="11" t="s">
        <v>56</v>
      </c>
      <c r="AG9" s="11" t="s">
        <v>56</v>
      </c>
    </row>
    <row r="10" spans="1:33" s="11" customFormat="1" ht="29" x14ac:dyDescent="0.35">
      <c r="A10" s="283"/>
      <c r="B10" s="283"/>
      <c r="C10" s="283"/>
      <c r="D10" s="159" t="s">
        <v>8</v>
      </c>
      <c r="E10" s="159" t="s">
        <v>9</v>
      </c>
      <c r="F10" s="159" t="s">
        <v>10</v>
      </c>
      <c r="G10" s="160" t="s">
        <v>11</v>
      </c>
      <c r="H10" s="160" t="s">
        <v>0</v>
      </c>
      <c r="I10" s="160" t="s">
        <v>1</v>
      </c>
      <c r="J10" s="160" t="s">
        <v>2</v>
      </c>
      <c r="K10" s="160" t="s">
        <v>11</v>
      </c>
      <c r="L10" s="160" t="s">
        <v>14</v>
      </c>
      <c r="M10" s="159" t="s">
        <v>21</v>
      </c>
      <c r="N10" s="159" t="s">
        <v>14</v>
      </c>
      <c r="O10" s="159" t="s">
        <v>21</v>
      </c>
      <c r="P10" s="161" t="s">
        <v>16</v>
      </c>
      <c r="Q10" s="159" t="s">
        <v>19</v>
      </c>
      <c r="R10" s="159" t="s">
        <v>20</v>
      </c>
      <c r="S10" s="161"/>
      <c r="T10" s="114"/>
      <c r="V10" s="11" t="s">
        <v>14</v>
      </c>
      <c r="W10" s="11" t="s">
        <v>21</v>
      </c>
      <c r="AF10" s="11" t="s">
        <v>55</v>
      </c>
      <c r="AG10" s="11" t="s">
        <v>55</v>
      </c>
    </row>
    <row r="11" spans="1:33" x14ac:dyDescent="0.35">
      <c r="A11" s="179">
        <v>1</v>
      </c>
      <c r="B11" s="176" t="s">
        <v>5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176" t="s">
        <v>67</v>
      </c>
      <c r="Q11" s="176"/>
      <c r="R11" s="176"/>
      <c r="S11" s="176"/>
      <c r="AF11" t="e">
        <f>CONCATENATE(#REF!,B11)</f>
        <v>#REF!</v>
      </c>
      <c r="AG11" t="str">
        <f>IF(L11="","",L11/M11)</f>
        <v/>
      </c>
    </row>
    <row r="12" spans="1:33" x14ac:dyDescent="0.35">
      <c r="A12" s="179">
        <v>2</v>
      </c>
      <c r="B12" s="176" t="s">
        <v>25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176" t="s">
        <v>68</v>
      </c>
      <c r="Q12" s="176"/>
      <c r="R12" s="176"/>
      <c r="S12" s="176"/>
      <c r="AF12" t="e">
        <f>CONCATENATE(#REF!,B12)</f>
        <v>#REF!</v>
      </c>
      <c r="AG12" t="str">
        <f t="shared" ref="AG12:AG20" si="0">IF(L12="","",L12/M12)</f>
        <v/>
      </c>
    </row>
    <row r="13" spans="1:33" x14ac:dyDescent="0.35">
      <c r="A13" s="179">
        <v>3</v>
      </c>
      <c r="B13" s="176" t="s">
        <v>26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176" t="s">
        <v>68</v>
      </c>
      <c r="Q13" s="176"/>
      <c r="R13" s="176"/>
      <c r="S13" s="176"/>
      <c r="AF13" t="e">
        <f>CONCATENATE(#REF!,B13)</f>
        <v>#REF!</v>
      </c>
      <c r="AG13" t="str">
        <f t="shared" si="0"/>
        <v/>
      </c>
    </row>
    <row r="14" spans="1:33" x14ac:dyDescent="0.35">
      <c r="A14" s="179">
        <v>4</v>
      </c>
      <c r="B14" s="176" t="s">
        <v>27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176" t="s">
        <v>69</v>
      </c>
      <c r="Q14" s="176"/>
      <c r="R14" s="176"/>
      <c r="S14" s="176"/>
      <c r="AF14" t="e">
        <f>CONCATENATE(#REF!,B14)</f>
        <v>#REF!</v>
      </c>
      <c r="AG14" t="str">
        <f t="shared" si="0"/>
        <v/>
      </c>
    </row>
    <row r="15" spans="1:33" x14ac:dyDescent="0.35">
      <c r="A15" s="179">
        <v>5</v>
      </c>
      <c r="B15" s="176" t="s">
        <v>28</v>
      </c>
      <c r="C15" s="201">
        <v>5</v>
      </c>
      <c r="D15" s="201">
        <v>5</v>
      </c>
      <c r="E15" s="201">
        <v>0</v>
      </c>
      <c r="F15" s="201">
        <v>0</v>
      </c>
      <c r="G15" s="201">
        <f>C15+E15-F15</f>
        <v>5</v>
      </c>
      <c r="H15" s="201">
        <v>5</v>
      </c>
      <c r="I15" s="201">
        <v>0</v>
      </c>
      <c r="J15" s="201">
        <v>0</v>
      </c>
      <c r="K15" s="201">
        <f>SUM(H15:J15)</f>
        <v>5</v>
      </c>
      <c r="L15" s="201">
        <v>0</v>
      </c>
      <c r="M15" s="201">
        <v>0</v>
      </c>
      <c r="N15" s="201">
        <v>0</v>
      </c>
      <c r="O15" s="201">
        <v>0</v>
      </c>
      <c r="P15" s="176" t="s">
        <v>70</v>
      </c>
      <c r="Q15" s="235">
        <v>63</v>
      </c>
      <c r="R15" s="176"/>
      <c r="S15" s="176"/>
      <c r="V15">
        <v>0</v>
      </c>
      <c r="W15">
        <v>0</v>
      </c>
      <c r="AF15" t="e">
        <f>CONCATENATE(#REF!,B15)</f>
        <v>#REF!</v>
      </c>
      <c r="AG15" t="e">
        <f t="shared" si="0"/>
        <v>#DIV/0!</v>
      </c>
    </row>
    <row r="16" spans="1:33" x14ac:dyDescent="0.35">
      <c r="A16" s="179">
        <v>6</v>
      </c>
      <c r="B16" s="176" t="s">
        <v>29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176" t="s">
        <v>70</v>
      </c>
      <c r="Q16" s="176"/>
      <c r="R16" s="176"/>
      <c r="S16" s="176"/>
      <c r="AF16" t="e">
        <f>CONCATENATE(#REF!,B16)</f>
        <v>#REF!</v>
      </c>
      <c r="AG16" t="str">
        <f t="shared" si="0"/>
        <v/>
      </c>
    </row>
    <row r="17" spans="1:33" x14ac:dyDescent="0.35">
      <c r="A17" s="179">
        <v>7</v>
      </c>
      <c r="B17" s="176" t="s">
        <v>30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176" t="s">
        <v>71</v>
      </c>
      <c r="Q17" s="176"/>
      <c r="R17" s="176"/>
      <c r="S17" s="176"/>
      <c r="AF17" t="e">
        <f>CONCATENATE(#REF!,B17)</f>
        <v>#REF!</v>
      </c>
      <c r="AG17" t="str">
        <f t="shared" si="0"/>
        <v/>
      </c>
    </row>
    <row r="18" spans="1:33" x14ac:dyDescent="0.35">
      <c r="A18" s="179">
        <v>8</v>
      </c>
      <c r="B18" s="176" t="s">
        <v>31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176" t="s">
        <v>72</v>
      </c>
      <c r="Q18" s="176"/>
      <c r="R18" s="176"/>
      <c r="S18" s="176"/>
      <c r="AF18" t="e">
        <f>CONCATENATE(#REF!,B18)</f>
        <v>#REF!</v>
      </c>
      <c r="AG18" t="str">
        <f t="shared" si="0"/>
        <v/>
      </c>
    </row>
    <row r="19" spans="1:33" x14ac:dyDescent="0.35">
      <c r="A19" s="179">
        <v>9</v>
      </c>
      <c r="B19" s="176" t="s">
        <v>32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176" t="s">
        <v>72</v>
      </c>
      <c r="Q19" s="176"/>
      <c r="R19" s="176"/>
      <c r="S19" s="176"/>
      <c r="AF19" t="e">
        <f>CONCATENATE(#REF!,B19)</f>
        <v>#REF!</v>
      </c>
      <c r="AG19" t="str">
        <f t="shared" si="0"/>
        <v/>
      </c>
    </row>
    <row r="20" spans="1:33" x14ac:dyDescent="0.35">
      <c r="A20" s="179">
        <v>10</v>
      </c>
      <c r="B20" s="176" t="s">
        <v>33</v>
      </c>
      <c r="C20" s="201">
        <v>36</v>
      </c>
      <c r="D20" s="201">
        <v>1</v>
      </c>
      <c r="E20" s="201">
        <f>9.8+16</f>
        <v>25.8</v>
      </c>
      <c r="F20" s="201">
        <v>3.9</v>
      </c>
      <c r="G20" s="201">
        <f>C20+E20-F20</f>
        <v>57.9</v>
      </c>
      <c r="H20" s="201">
        <f>34+16-3</f>
        <v>47</v>
      </c>
      <c r="I20" s="201">
        <f>4.6+3</f>
        <v>7.6</v>
      </c>
      <c r="J20" s="201">
        <v>3.3</v>
      </c>
      <c r="K20" s="201">
        <f>SUM(H20:J20)</f>
        <v>57.9</v>
      </c>
      <c r="L20" s="201">
        <v>2669</v>
      </c>
      <c r="M20" s="201">
        <v>593.11</v>
      </c>
      <c r="N20" s="201">
        <f>O20*I20</f>
        <v>5690.5</v>
      </c>
      <c r="O20" s="201">
        <v>748.75</v>
      </c>
      <c r="P20" s="176" t="s">
        <v>72</v>
      </c>
      <c r="Q20" s="235">
        <f>34080-34055</f>
        <v>25</v>
      </c>
      <c r="R20" s="176"/>
      <c r="S20" s="176"/>
      <c r="V20">
        <v>952.65999999999985</v>
      </c>
      <c r="W20" s="28">
        <v>207.1</v>
      </c>
      <c r="Y20" s="28"/>
      <c r="Z20" s="28"/>
      <c r="AF20" t="e">
        <f>CONCATENATE(#REF!,B20)</f>
        <v>#REF!</v>
      </c>
      <c r="AG20">
        <f t="shared" si="0"/>
        <v>4.5000084301394345</v>
      </c>
    </row>
    <row r="21" spans="1:33" x14ac:dyDescent="0.35">
      <c r="A21" s="179">
        <v>11</v>
      </c>
      <c r="B21" s="200" t="s">
        <v>96</v>
      </c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176"/>
      <c r="Q21" s="176"/>
      <c r="R21" s="176"/>
      <c r="S21" s="176"/>
      <c r="AF21" t="e">
        <f>CONCATENATE(#REF!,B22)</f>
        <v>#REF!</v>
      </c>
      <c r="AG21">
        <f t="shared" ref="AG21:AG37" si="1">IF(L22="","",L22/M22)</f>
        <v>36.000085541369941</v>
      </c>
    </row>
    <row r="22" spans="1:33" x14ac:dyDescent="0.35">
      <c r="A22" s="179">
        <v>12</v>
      </c>
      <c r="B22" s="176" t="s">
        <v>34</v>
      </c>
      <c r="C22" s="201">
        <f>175.5-50</f>
        <v>125.5</v>
      </c>
      <c r="D22" s="201">
        <v>180</v>
      </c>
      <c r="E22" s="201">
        <v>0</v>
      </c>
      <c r="F22" s="201">
        <v>0.5</v>
      </c>
      <c r="G22" s="201">
        <f t="shared" ref="G22:G24" si="2">C22+E22-F22</f>
        <v>125</v>
      </c>
      <c r="H22" s="201">
        <f>89-10</f>
        <v>79</v>
      </c>
      <c r="I22" s="201">
        <f>36+10</f>
        <v>46</v>
      </c>
      <c r="J22" s="201">
        <v>0</v>
      </c>
      <c r="K22" s="201">
        <f t="shared" ref="K22:K24" si="3">SUM(H22:J22)</f>
        <v>125</v>
      </c>
      <c r="L22" s="201">
        <v>33668</v>
      </c>
      <c r="M22" s="201">
        <v>935.22</v>
      </c>
      <c r="N22" s="201">
        <f>O22*I22</f>
        <v>44712</v>
      </c>
      <c r="O22" s="201">
        <v>972</v>
      </c>
      <c r="P22" s="176" t="s">
        <v>73</v>
      </c>
      <c r="Q22" s="235">
        <f>5770-5599</f>
        <v>171</v>
      </c>
      <c r="R22" s="176"/>
      <c r="S22" s="176"/>
      <c r="V22" s="28">
        <v>13665.6</v>
      </c>
      <c r="W22">
        <v>379.6</v>
      </c>
      <c r="AF22" t="e">
        <f>CONCATENATE(#REF!,B23)</f>
        <v>#REF!</v>
      </c>
      <c r="AG22">
        <f t="shared" si="1"/>
        <v>700.6</v>
      </c>
    </row>
    <row r="23" spans="1:33" x14ac:dyDescent="0.35">
      <c r="A23" s="179">
        <v>13</v>
      </c>
      <c r="B23" s="176" t="s">
        <v>35</v>
      </c>
      <c r="C23" s="201">
        <v>1499.7</v>
      </c>
      <c r="D23" s="201">
        <v>2.2999999999999998</v>
      </c>
      <c r="E23" s="201">
        <v>10.8</v>
      </c>
      <c r="F23" s="201">
        <v>16.8</v>
      </c>
      <c r="G23" s="201">
        <f t="shared" si="2"/>
        <v>1493.7</v>
      </c>
      <c r="H23" s="201">
        <f>401.3-40</f>
        <v>361.3</v>
      </c>
      <c r="I23" s="201">
        <f>692.9+40</f>
        <v>732.9</v>
      </c>
      <c r="J23" s="201">
        <v>399.5</v>
      </c>
      <c r="K23" s="201">
        <f t="shared" si="3"/>
        <v>1493.7</v>
      </c>
      <c r="L23" s="201">
        <v>829510.4</v>
      </c>
      <c r="M23" s="201">
        <v>1184</v>
      </c>
      <c r="N23" s="201">
        <f>O23*I23</f>
        <v>914659.2</v>
      </c>
      <c r="O23" s="201">
        <v>1248</v>
      </c>
      <c r="P23" s="176" t="s">
        <v>74</v>
      </c>
      <c r="Q23" s="235">
        <f>387738-385000+20</f>
        <v>2758</v>
      </c>
      <c r="R23" s="176"/>
      <c r="S23" s="176"/>
      <c r="V23" s="28">
        <v>207177.1</v>
      </c>
      <c r="W23">
        <v>299</v>
      </c>
      <c r="Y23" s="27"/>
      <c r="Z23" s="27"/>
      <c r="AF23" t="e">
        <f>CONCATENATE(#REF!,B24)</f>
        <v>#REF!</v>
      </c>
      <c r="AG23">
        <f t="shared" si="1"/>
        <v>564.29999954231209</v>
      </c>
    </row>
    <row r="24" spans="1:33" x14ac:dyDescent="0.35">
      <c r="A24" s="179">
        <v>14</v>
      </c>
      <c r="B24" s="176" t="s">
        <v>36</v>
      </c>
      <c r="C24" s="201">
        <v>368.6</v>
      </c>
      <c r="D24" s="201">
        <v>0</v>
      </c>
      <c r="E24" s="201">
        <v>1.2</v>
      </c>
      <c r="F24" s="201">
        <v>0</v>
      </c>
      <c r="G24" s="201">
        <f t="shared" si="2"/>
        <v>369.8</v>
      </c>
      <c r="H24" s="236">
        <v>0</v>
      </c>
      <c r="I24" s="201">
        <v>369</v>
      </c>
      <c r="J24" s="201">
        <v>0.8</v>
      </c>
      <c r="K24" s="201">
        <f t="shared" si="3"/>
        <v>369.8</v>
      </c>
      <c r="L24" s="193">
        <v>4931744.99</v>
      </c>
      <c r="M24" s="201">
        <v>8739.58</v>
      </c>
      <c r="N24" s="201">
        <f>O24*I24</f>
        <v>3237975</v>
      </c>
      <c r="O24" s="201">
        <v>8775</v>
      </c>
      <c r="P24" s="176" t="s">
        <v>75</v>
      </c>
      <c r="Q24" s="235">
        <f>2838-2210+10</f>
        <v>638</v>
      </c>
      <c r="R24" s="176"/>
      <c r="S24" s="176"/>
      <c r="V24">
        <v>814752</v>
      </c>
      <c r="W24">
        <v>2208</v>
      </c>
      <c r="AF24" t="e">
        <f>CONCATENATE(#REF!,B25)</f>
        <v>#REF!</v>
      </c>
      <c r="AG24" t="str">
        <f t="shared" si="1"/>
        <v/>
      </c>
    </row>
    <row r="25" spans="1:33" x14ac:dyDescent="0.35">
      <c r="A25" s="179">
        <v>15</v>
      </c>
      <c r="B25" s="176" t="s">
        <v>37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176" t="s">
        <v>74</v>
      </c>
      <c r="Q25" s="176"/>
      <c r="R25" s="176"/>
      <c r="S25" s="176"/>
      <c r="AF25" t="e">
        <f>CONCATENATE(#REF!,B26)</f>
        <v>#REF!</v>
      </c>
      <c r="AG25" t="str">
        <f t="shared" si="1"/>
        <v/>
      </c>
    </row>
    <row r="26" spans="1:33" x14ac:dyDescent="0.35">
      <c r="A26" s="179">
        <v>16</v>
      </c>
      <c r="B26" s="176" t="s">
        <v>38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176" t="s">
        <v>76</v>
      </c>
      <c r="Q26" s="176"/>
      <c r="R26" s="176"/>
      <c r="S26" s="176"/>
      <c r="AF26" t="e">
        <f>CONCATENATE(#REF!,B27)</f>
        <v>#REF!</v>
      </c>
      <c r="AG26" t="str">
        <f t="shared" si="1"/>
        <v/>
      </c>
    </row>
    <row r="27" spans="1:33" x14ac:dyDescent="0.35">
      <c r="A27" s="179">
        <v>17</v>
      </c>
      <c r="B27" s="176" t="s">
        <v>39</v>
      </c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176" t="s">
        <v>77</v>
      </c>
      <c r="Q27" s="176"/>
      <c r="R27" s="176"/>
      <c r="S27" s="176"/>
      <c r="AF27" t="e">
        <f>CONCATENATE(#REF!,B28)</f>
        <v>#REF!</v>
      </c>
      <c r="AG27" t="str">
        <f t="shared" si="1"/>
        <v/>
      </c>
    </row>
    <row r="28" spans="1:33" x14ac:dyDescent="0.35">
      <c r="A28" s="179">
        <v>18</v>
      </c>
      <c r="B28" s="176" t="s">
        <v>40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176" t="s">
        <v>78</v>
      </c>
      <c r="Q28" s="176"/>
      <c r="R28" s="176"/>
      <c r="S28" s="176"/>
      <c r="AF28" t="e">
        <f>CONCATENATE(#REF!,B29)</f>
        <v>#REF!</v>
      </c>
      <c r="AG28" t="str">
        <f t="shared" si="1"/>
        <v/>
      </c>
    </row>
    <row r="29" spans="1:33" x14ac:dyDescent="0.35">
      <c r="A29" s="179">
        <v>19</v>
      </c>
      <c r="B29" s="176" t="s">
        <v>41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176" t="s">
        <v>79</v>
      </c>
      <c r="Q29" s="176"/>
      <c r="R29" s="176"/>
      <c r="S29" s="176"/>
      <c r="AF29" t="e">
        <f>CONCATENATE(#REF!,B30)</f>
        <v>#REF!</v>
      </c>
      <c r="AG29" t="str">
        <f t="shared" si="1"/>
        <v/>
      </c>
    </row>
    <row r="30" spans="1:33" x14ac:dyDescent="0.35">
      <c r="A30" s="179">
        <v>20</v>
      </c>
      <c r="B30" s="176" t="s">
        <v>42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176" t="s">
        <v>80</v>
      </c>
      <c r="Q30" s="176"/>
      <c r="R30" s="176"/>
      <c r="S30" s="176"/>
      <c r="AF30" t="e">
        <f>CONCATENATE(#REF!,B31)</f>
        <v>#REF!</v>
      </c>
      <c r="AG30" t="str">
        <f t="shared" si="1"/>
        <v/>
      </c>
    </row>
    <row r="31" spans="1:33" x14ac:dyDescent="0.35">
      <c r="A31" s="179">
        <v>21</v>
      </c>
      <c r="B31" s="176" t="s">
        <v>43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176" t="s">
        <v>69</v>
      </c>
      <c r="Q31" s="176"/>
      <c r="R31" s="176"/>
      <c r="S31" s="176"/>
      <c r="AF31" t="e">
        <f>CONCATENATE(#REF!,B32)</f>
        <v>#REF!</v>
      </c>
      <c r="AG31" t="str">
        <f t="shared" si="1"/>
        <v/>
      </c>
    </row>
    <row r="32" spans="1:33" x14ac:dyDescent="0.35">
      <c r="A32" s="179">
        <v>22</v>
      </c>
      <c r="B32" s="176" t="s">
        <v>44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176" t="s">
        <v>81</v>
      </c>
      <c r="Q32" s="176"/>
      <c r="R32" s="176"/>
      <c r="S32" s="176"/>
      <c r="AF32" t="e">
        <f>CONCATENATE(#REF!,B33)</f>
        <v>#REF!</v>
      </c>
      <c r="AG32" t="str">
        <f t="shared" si="1"/>
        <v/>
      </c>
    </row>
    <row r="33" spans="1:33" x14ac:dyDescent="0.35">
      <c r="A33" s="179">
        <v>23</v>
      </c>
      <c r="B33" s="176" t="s">
        <v>45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176" t="s">
        <v>81</v>
      </c>
      <c r="Q33" s="176"/>
      <c r="R33" s="176"/>
      <c r="S33" s="176"/>
      <c r="AF33" t="e">
        <f>CONCATENATE(#REF!,B34)</f>
        <v>#REF!</v>
      </c>
      <c r="AG33">
        <f t="shared" si="1"/>
        <v>2</v>
      </c>
    </row>
    <row r="34" spans="1:33" x14ac:dyDescent="0.35">
      <c r="A34" s="179">
        <v>24</v>
      </c>
      <c r="B34" s="176" t="s">
        <v>46</v>
      </c>
      <c r="C34" s="201">
        <f>9.5+0.5</f>
        <v>10</v>
      </c>
      <c r="D34" s="201">
        <v>0</v>
      </c>
      <c r="E34" s="236">
        <v>0</v>
      </c>
      <c r="F34" s="201">
        <v>0.5</v>
      </c>
      <c r="G34" s="201">
        <f>C34+E34-F34</f>
        <v>9.5</v>
      </c>
      <c r="H34" s="201">
        <v>4.8</v>
      </c>
      <c r="I34" s="201">
        <v>2</v>
      </c>
      <c r="J34" s="201">
        <v>2.7</v>
      </c>
      <c r="K34" s="201">
        <f t="shared" ref="K34" si="4">SUM(H34:J34)</f>
        <v>9.5</v>
      </c>
      <c r="L34" s="193">
        <v>906</v>
      </c>
      <c r="M34" s="201">
        <v>453</v>
      </c>
      <c r="N34" s="201">
        <f>O34*I34</f>
        <v>796</v>
      </c>
      <c r="O34" s="201">
        <v>398</v>
      </c>
      <c r="P34" s="176" t="s">
        <v>72</v>
      </c>
      <c r="Q34" s="235">
        <f>14500-14444+29</f>
        <v>85</v>
      </c>
      <c r="R34" s="176"/>
      <c r="S34" s="176"/>
      <c r="V34">
        <v>0</v>
      </c>
      <c r="W34">
        <v>0</v>
      </c>
      <c r="AF34" t="e">
        <f>CONCATENATE(#REF!,B35)</f>
        <v>#REF!</v>
      </c>
      <c r="AG34" t="str">
        <f t="shared" si="1"/>
        <v/>
      </c>
    </row>
    <row r="35" spans="1:33" x14ac:dyDescent="0.35">
      <c r="A35" s="179">
        <v>25</v>
      </c>
      <c r="B35" s="176" t="s">
        <v>47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176" t="s">
        <v>75</v>
      </c>
      <c r="Q35" s="176"/>
      <c r="R35" s="176"/>
      <c r="S35" s="176"/>
      <c r="AF35" t="e">
        <f>CONCATENATE(#REF!,B36)</f>
        <v>#REF!</v>
      </c>
      <c r="AG35" t="str">
        <f t="shared" si="1"/>
        <v/>
      </c>
    </row>
    <row r="36" spans="1:33" x14ac:dyDescent="0.35">
      <c r="A36" s="179">
        <v>26</v>
      </c>
      <c r="B36" s="176" t="s">
        <v>48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176" t="s">
        <v>72</v>
      </c>
      <c r="Q36" s="176"/>
      <c r="R36" s="176"/>
      <c r="S36" s="176"/>
      <c r="AF36" t="e">
        <f>CONCATENATE(#REF!,B37)</f>
        <v>#REF!</v>
      </c>
      <c r="AG36" t="str">
        <f t="shared" si="1"/>
        <v/>
      </c>
    </row>
    <row r="37" spans="1:33" x14ac:dyDescent="0.35">
      <c r="A37" s="179">
        <v>27</v>
      </c>
      <c r="B37" s="176" t="s">
        <v>49</v>
      </c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176" t="s">
        <v>84</v>
      </c>
      <c r="Q37" s="176"/>
      <c r="R37" s="176"/>
      <c r="S37" s="176"/>
      <c r="AF37" t="e">
        <f>CONCATENATE(#REF!,B38)</f>
        <v>#REF!</v>
      </c>
      <c r="AG37" t="str">
        <f t="shared" si="1"/>
        <v/>
      </c>
    </row>
    <row r="38" spans="1:33" x14ac:dyDescent="0.35">
      <c r="A38" s="179">
        <v>28</v>
      </c>
      <c r="B38" s="176" t="s">
        <v>50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176" t="s">
        <v>77</v>
      </c>
      <c r="Q38" s="176"/>
      <c r="R38" s="176"/>
      <c r="S38" s="176"/>
      <c r="AF38" t="e">
        <f>CONCATENATE(#REF!,#REF!)</f>
        <v>#REF!</v>
      </c>
    </row>
    <row r="39" spans="1:33" x14ac:dyDescent="0.35">
      <c r="A39" s="179">
        <v>29</v>
      </c>
      <c r="B39" s="176" t="s">
        <v>51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176" t="s">
        <v>82</v>
      </c>
      <c r="Q39" s="176"/>
      <c r="R39" s="176"/>
      <c r="S39" s="176"/>
      <c r="AF39" t="e">
        <f>CONCATENATE(#REF!,B40)</f>
        <v>#REF!</v>
      </c>
      <c r="AG39" t="str">
        <f>IF(L40="","",L40/M40)</f>
        <v/>
      </c>
    </row>
    <row r="40" spans="1:33" x14ac:dyDescent="0.35">
      <c r="A40" s="179">
        <v>30</v>
      </c>
      <c r="B40" s="176" t="s">
        <v>52</v>
      </c>
      <c r="C40" s="176"/>
      <c r="D40" s="176"/>
      <c r="E40" s="176"/>
      <c r="F40" s="176"/>
      <c r="G40" s="201"/>
      <c r="H40" s="201"/>
      <c r="I40" s="201"/>
      <c r="J40" s="201"/>
      <c r="K40" s="201"/>
      <c r="L40" s="201"/>
      <c r="M40" s="176"/>
      <c r="N40" s="176"/>
      <c r="O40" s="176"/>
      <c r="P40" s="176" t="s">
        <v>83</v>
      </c>
      <c r="Q40" s="176"/>
      <c r="R40" s="176"/>
      <c r="S40" s="176"/>
    </row>
    <row r="41" spans="1:33" x14ac:dyDescent="0.35">
      <c r="A41" s="151"/>
      <c r="B41" s="151"/>
      <c r="C41" s="151"/>
      <c r="D41" s="151"/>
      <c r="E41" s="151"/>
      <c r="F41" s="151"/>
      <c r="G41" s="152"/>
      <c r="H41" s="152"/>
      <c r="I41" s="152"/>
      <c r="J41" s="152"/>
      <c r="K41" s="152"/>
      <c r="L41" s="152"/>
      <c r="M41" s="151"/>
      <c r="N41" s="151"/>
      <c r="O41" s="151"/>
      <c r="P41" s="151"/>
      <c r="Q41" s="151"/>
      <c r="R41" s="151"/>
      <c r="S41" s="151"/>
    </row>
    <row r="42" spans="1:33" x14ac:dyDescent="0.35">
      <c r="A42" s="151"/>
      <c r="B42" s="151"/>
      <c r="C42" s="286" t="s">
        <v>111</v>
      </c>
      <c r="D42" s="286"/>
      <c r="E42" s="151"/>
      <c r="F42" s="151"/>
      <c r="G42" s="152"/>
      <c r="H42" s="152"/>
      <c r="I42" s="152"/>
      <c r="J42" s="152"/>
      <c r="K42" s="152"/>
      <c r="L42" s="152"/>
      <c r="M42" s="151"/>
      <c r="N42" s="151"/>
      <c r="O42" s="151"/>
      <c r="P42" s="151"/>
      <c r="Q42" s="151"/>
      <c r="R42" s="151"/>
      <c r="S42" s="151"/>
    </row>
    <row r="43" spans="1:33" x14ac:dyDescent="0.35">
      <c r="A43" s="151"/>
      <c r="B43" s="151"/>
      <c r="C43" s="286" t="s">
        <v>112</v>
      </c>
      <c r="D43" s="286"/>
      <c r="E43" s="151"/>
      <c r="F43" s="151"/>
      <c r="G43" s="152"/>
      <c r="H43" s="152"/>
      <c r="I43" s="152"/>
      <c r="J43" s="152"/>
      <c r="K43" s="152"/>
      <c r="L43" s="152"/>
      <c r="M43" s="151"/>
      <c r="N43" s="151"/>
      <c r="O43" s="151"/>
      <c r="P43" s="286" t="s">
        <v>110</v>
      </c>
      <c r="Q43" s="286"/>
      <c r="R43" s="286"/>
      <c r="S43" s="151"/>
    </row>
    <row r="44" spans="1:33" x14ac:dyDescent="0.35">
      <c r="A44" s="151"/>
      <c r="B44" s="151"/>
      <c r="C44" s="190"/>
      <c r="D44" s="190"/>
      <c r="E44" s="151"/>
      <c r="F44" s="151"/>
      <c r="G44" s="152"/>
      <c r="H44" s="152"/>
      <c r="I44" s="152"/>
      <c r="J44" s="152"/>
      <c r="K44" s="152"/>
      <c r="L44" s="152"/>
      <c r="M44" s="151"/>
      <c r="N44" s="151"/>
      <c r="O44" s="151"/>
      <c r="P44" s="190"/>
      <c r="Q44" s="190"/>
      <c r="R44" s="190"/>
      <c r="S44" s="151"/>
    </row>
    <row r="45" spans="1:33" x14ac:dyDescent="0.35">
      <c r="A45" s="151"/>
      <c r="B45" s="151"/>
      <c r="C45" s="190"/>
      <c r="D45" s="190"/>
      <c r="E45" s="151"/>
      <c r="F45" s="151"/>
      <c r="G45" s="152"/>
      <c r="H45" s="152"/>
      <c r="I45" s="152"/>
      <c r="J45" s="152"/>
      <c r="K45" s="152"/>
      <c r="L45" s="152"/>
      <c r="M45" s="151"/>
      <c r="N45" s="151"/>
      <c r="O45" s="151"/>
      <c r="P45" s="190"/>
      <c r="Q45" s="190"/>
      <c r="R45" s="190"/>
      <c r="S45" s="151"/>
    </row>
    <row r="46" spans="1:33" x14ac:dyDescent="0.35">
      <c r="A46" s="151"/>
      <c r="B46" s="151"/>
      <c r="C46" s="190"/>
      <c r="D46" s="190"/>
      <c r="E46" s="151"/>
      <c r="F46" s="151"/>
      <c r="G46" s="152"/>
      <c r="H46" s="152"/>
      <c r="I46" s="152"/>
      <c r="J46" s="152"/>
      <c r="K46" s="152"/>
      <c r="L46" s="152"/>
      <c r="M46" s="151"/>
      <c r="N46" s="151"/>
      <c r="O46" s="151"/>
      <c r="P46" s="190"/>
      <c r="Q46" s="190"/>
      <c r="R46" s="190"/>
      <c r="S46" s="151"/>
    </row>
    <row r="47" spans="1:33" x14ac:dyDescent="0.35">
      <c r="A47" s="151"/>
      <c r="B47" s="151"/>
      <c r="C47" s="287" t="s">
        <v>131</v>
      </c>
      <c r="D47" s="287"/>
      <c r="E47" s="151"/>
      <c r="F47" s="151"/>
      <c r="G47" s="152"/>
      <c r="H47" s="152"/>
      <c r="I47" s="152"/>
      <c r="J47" s="152"/>
      <c r="K47" s="152"/>
      <c r="L47" s="152"/>
      <c r="M47" s="151"/>
      <c r="N47" s="151"/>
      <c r="O47" s="151"/>
      <c r="P47" s="287" t="s">
        <v>143</v>
      </c>
      <c r="Q47" s="287"/>
      <c r="R47" s="287"/>
      <c r="S47" s="151"/>
    </row>
    <row r="48" spans="1:33" x14ac:dyDescent="0.35">
      <c r="A48" s="151"/>
      <c r="B48" s="151"/>
      <c r="C48" s="286" t="s">
        <v>132</v>
      </c>
      <c r="D48" s="286"/>
      <c r="E48" s="151"/>
      <c r="F48" s="151"/>
      <c r="G48" s="152"/>
      <c r="H48" s="152"/>
      <c r="I48" s="152"/>
      <c r="J48" s="152"/>
      <c r="K48" s="152"/>
      <c r="L48" s="152"/>
      <c r="M48" s="151"/>
      <c r="N48" s="151"/>
      <c r="O48" s="151"/>
      <c r="P48" s="286" t="s">
        <v>144</v>
      </c>
      <c r="Q48" s="286"/>
      <c r="R48" s="286"/>
      <c r="S48" s="151"/>
    </row>
    <row r="49" spans="1:19" x14ac:dyDescent="0.35">
      <c r="A49" s="151"/>
      <c r="B49" s="151"/>
      <c r="C49" s="190"/>
      <c r="D49" s="190"/>
      <c r="E49" s="151"/>
      <c r="F49" s="151"/>
      <c r="G49" s="152"/>
      <c r="H49" s="152"/>
      <c r="I49" s="152"/>
      <c r="J49" s="152"/>
      <c r="K49" s="152"/>
      <c r="L49" s="152"/>
      <c r="M49" s="151"/>
      <c r="N49" s="151"/>
      <c r="O49" s="151"/>
      <c r="P49" s="151"/>
      <c r="Q49" s="151"/>
      <c r="R49" s="151"/>
      <c r="S49" s="151"/>
    </row>
  </sheetData>
  <mergeCells count="18">
    <mergeCell ref="C42:D42"/>
    <mergeCell ref="C43:D43"/>
    <mergeCell ref="C47:D47"/>
    <mergeCell ref="C48:D48"/>
    <mergeCell ref="P43:R43"/>
    <mergeCell ref="P47:R47"/>
    <mergeCell ref="P48:R48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45" right="0.45" top="0.25" bottom="0.75" header="0.3" footer="0.3"/>
  <pageSetup paperSize="5" scale="70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AD49"/>
  <sheetViews>
    <sheetView topLeftCell="F1" zoomScale="90" zoomScaleNormal="90" workbookViewId="0">
      <selection activeCell="O25" sqref="O25"/>
    </sheetView>
  </sheetViews>
  <sheetFormatPr defaultRowHeight="14.5" x14ac:dyDescent="0.35"/>
  <cols>
    <col min="1" max="1" width="4.26953125" customWidth="1"/>
    <col min="2" max="2" width="20.453125" customWidth="1"/>
    <col min="3" max="3" width="12.54296875" customWidth="1"/>
    <col min="4" max="4" width="9.1796875" customWidth="1"/>
    <col min="5" max="5" width="11.7265625" customWidth="1"/>
    <col min="6" max="6" width="10" customWidth="1"/>
    <col min="7" max="7" width="10.7265625" style="32" customWidth="1"/>
    <col min="8" max="10" width="9.453125" style="32" bestFit="1" customWidth="1"/>
    <col min="11" max="11" width="11.453125" style="32" customWidth="1"/>
    <col min="12" max="12" width="14" style="32" customWidth="1"/>
    <col min="13" max="13" width="10.453125" style="32" customWidth="1"/>
    <col min="14" max="14" width="14.7265625" customWidth="1"/>
    <col min="15" max="15" width="14" customWidth="1"/>
    <col min="16" max="16" width="17.1796875" customWidth="1"/>
    <col min="17" max="17" width="11.1796875" customWidth="1"/>
    <col min="18" max="18" width="6.7265625" customWidth="1"/>
    <col min="19" max="19" width="4.7265625" customWidth="1"/>
    <col min="20" max="20" width="10.26953125" customWidth="1"/>
    <col min="29" max="30" width="9.1796875" hidden="1" customWidth="1"/>
  </cols>
  <sheetData>
    <row r="1" spans="1:30" x14ac:dyDescent="0.35">
      <c r="A1" s="1" t="s">
        <v>57</v>
      </c>
      <c r="G1" s="30"/>
      <c r="H1" s="30"/>
      <c r="I1" s="30"/>
      <c r="J1" s="30"/>
      <c r="K1" s="30"/>
      <c r="L1" s="30"/>
      <c r="M1" s="30"/>
    </row>
    <row r="2" spans="1:30" x14ac:dyDescent="0.35">
      <c r="A2" s="2"/>
      <c r="G2" s="30"/>
      <c r="H2" s="30"/>
      <c r="I2" s="30"/>
      <c r="J2" s="30"/>
      <c r="K2" s="30"/>
      <c r="L2" s="30"/>
      <c r="M2" s="30"/>
    </row>
    <row r="3" spans="1:30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113"/>
    </row>
    <row r="4" spans="1:30" x14ac:dyDescent="0.35">
      <c r="A4" s="1"/>
      <c r="G4" s="30"/>
      <c r="H4" s="30"/>
      <c r="I4" s="30"/>
      <c r="J4" s="30"/>
      <c r="K4" s="30"/>
      <c r="L4" s="30"/>
      <c r="M4" s="30"/>
      <c r="R4" s="5"/>
      <c r="S4" s="6"/>
      <c r="T4" s="6"/>
    </row>
    <row r="5" spans="1:30" x14ac:dyDescent="0.35">
      <c r="A5" s="153" t="s">
        <v>175</v>
      </c>
      <c r="B5" s="151"/>
      <c r="C5" s="151" t="s">
        <v>190</v>
      </c>
      <c r="D5" s="151"/>
      <c r="E5" s="151"/>
      <c r="F5" s="151"/>
      <c r="G5" s="154"/>
      <c r="H5" s="154"/>
      <c r="I5" s="154"/>
      <c r="J5" s="154"/>
      <c r="K5" s="154"/>
      <c r="L5" s="154"/>
      <c r="M5" s="154"/>
      <c r="N5" s="151"/>
      <c r="O5" s="151"/>
      <c r="P5" s="151"/>
      <c r="Q5" s="151" t="s">
        <v>181</v>
      </c>
      <c r="R5" s="153" t="s">
        <v>182</v>
      </c>
      <c r="S5" s="151"/>
    </row>
    <row r="6" spans="1:30" x14ac:dyDescent="0.35">
      <c r="A6" s="153" t="s">
        <v>176</v>
      </c>
      <c r="B6" s="151"/>
      <c r="C6" s="151" t="s">
        <v>172</v>
      </c>
      <c r="D6" s="151"/>
      <c r="E6" s="151"/>
      <c r="F6" s="151"/>
      <c r="G6" s="154"/>
      <c r="H6" s="154"/>
      <c r="I6" s="154"/>
      <c r="J6" s="154"/>
      <c r="K6" s="154"/>
      <c r="L6" s="154"/>
      <c r="M6" s="154"/>
      <c r="N6" s="151"/>
      <c r="O6" s="151"/>
      <c r="P6" s="151"/>
      <c r="Q6" s="151" t="s">
        <v>180</v>
      </c>
      <c r="R6" s="153" t="s">
        <v>203</v>
      </c>
      <c r="S6" s="151"/>
    </row>
    <row r="7" spans="1:30" x14ac:dyDescent="0.35">
      <c r="A7" s="153" t="s">
        <v>177</v>
      </c>
      <c r="B7" s="151"/>
      <c r="C7" s="151" t="s">
        <v>174</v>
      </c>
      <c r="D7" s="151"/>
      <c r="E7" s="151"/>
      <c r="F7" s="151"/>
      <c r="G7" s="154"/>
      <c r="H7" s="154"/>
      <c r="I7" s="154"/>
      <c r="J7" s="154"/>
      <c r="K7" s="154"/>
      <c r="L7" s="154"/>
      <c r="M7" s="154"/>
      <c r="N7" s="151"/>
      <c r="O7" s="151"/>
      <c r="P7" s="151"/>
      <c r="Q7" s="151"/>
      <c r="R7" s="151"/>
      <c r="S7" s="151"/>
    </row>
    <row r="8" spans="1:30" s="11" customFormat="1" x14ac:dyDescent="0.35">
      <c r="A8" s="283" t="s">
        <v>3</v>
      </c>
      <c r="B8" s="283" t="s">
        <v>4</v>
      </c>
      <c r="C8" s="283" t="s">
        <v>23</v>
      </c>
      <c r="D8" s="283" t="s">
        <v>6</v>
      </c>
      <c r="E8" s="283"/>
      <c r="F8" s="283"/>
      <c r="G8" s="283"/>
      <c r="H8" s="283"/>
      <c r="I8" s="283"/>
      <c r="J8" s="283"/>
      <c r="K8" s="283"/>
      <c r="L8" s="283" t="s">
        <v>22</v>
      </c>
      <c r="M8" s="283"/>
      <c r="N8" s="283"/>
      <c r="O8" s="283"/>
      <c r="P8" s="155"/>
      <c r="Q8" s="156"/>
      <c r="R8" s="157"/>
      <c r="S8" s="155"/>
      <c r="AC8" s="11" t="s">
        <v>54</v>
      </c>
      <c r="AD8" s="11" t="s">
        <v>54</v>
      </c>
    </row>
    <row r="9" spans="1:30" s="11" customFormat="1" ht="43.5" x14ac:dyDescent="0.35">
      <c r="A9" s="283"/>
      <c r="B9" s="283"/>
      <c r="C9" s="283"/>
      <c r="D9" s="284" t="s">
        <v>7</v>
      </c>
      <c r="E9" s="284"/>
      <c r="F9" s="284"/>
      <c r="G9" s="284"/>
      <c r="H9" s="294" t="s">
        <v>12</v>
      </c>
      <c r="I9" s="294"/>
      <c r="J9" s="294"/>
      <c r="K9" s="294"/>
      <c r="L9" s="294" t="s">
        <v>13</v>
      </c>
      <c r="M9" s="294"/>
      <c r="N9" s="284" t="s">
        <v>15</v>
      </c>
      <c r="O9" s="284"/>
      <c r="P9" s="158"/>
      <c r="Q9" s="281" t="s">
        <v>17</v>
      </c>
      <c r="R9" s="282"/>
      <c r="S9" s="158" t="s">
        <v>167</v>
      </c>
      <c r="T9" s="114"/>
      <c r="V9" s="11" t="s">
        <v>15</v>
      </c>
      <c r="AC9" s="11" t="s">
        <v>56</v>
      </c>
      <c r="AD9" s="11" t="s">
        <v>56</v>
      </c>
    </row>
    <row r="10" spans="1:30" s="11" customFormat="1" ht="43.5" x14ac:dyDescent="0.35">
      <c r="A10" s="283"/>
      <c r="B10" s="283"/>
      <c r="C10" s="283"/>
      <c r="D10" s="159" t="s">
        <v>8</v>
      </c>
      <c r="E10" s="159" t="s">
        <v>9</v>
      </c>
      <c r="F10" s="159" t="s">
        <v>10</v>
      </c>
      <c r="G10" s="160" t="s">
        <v>11</v>
      </c>
      <c r="H10" s="160" t="s">
        <v>0</v>
      </c>
      <c r="I10" s="160" t="s">
        <v>1</v>
      </c>
      <c r="J10" s="160" t="s">
        <v>2</v>
      </c>
      <c r="K10" s="160" t="s">
        <v>11</v>
      </c>
      <c r="L10" s="160" t="s">
        <v>14</v>
      </c>
      <c r="M10" s="160" t="s">
        <v>21</v>
      </c>
      <c r="N10" s="159" t="s">
        <v>14</v>
      </c>
      <c r="O10" s="159" t="s">
        <v>21</v>
      </c>
      <c r="P10" s="161" t="s">
        <v>16</v>
      </c>
      <c r="Q10" s="159" t="s">
        <v>19</v>
      </c>
      <c r="R10" s="159" t="s">
        <v>20</v>
      </c>
      <c r="S10" s="161"/>
      <c r="T10" s="114"/>
      <c r="V10" s="11" t="s">
        <v>14</v>
      </c>
      <c r="W10" s="11" t="s">
        <v>21</v>
      </c>
      <c r="AC10" s="11" t="s">
        <v>55</v>
      </c>
      <c r="AD10" s="11" t="s">
        <v>55</v>
      </c>
    </row>
    <row r="11" spans="1:30" x14ac:dyDescent="0.35">
      <c r="A11" s="162">
        <v>1</v>
      </c>
      <c r="B11" s="163" t="s">
        <v>5</v>
      </c>
      <c r="C11" s="163"/>
      <c r="D11" s="163"/>
      <c r="E11" s="163"/>
      <c r="F11" s="163"/>
      <c r="G11" s="180"/>
      <c r="H11" s="180"/>
      <c r="I11" s="180"/>
      <c r="J11" s="180"/>
      <c r="K11" s="180"/>
      <c r="L11" s="180"/>
      <c r="M11" s="180"/>
      <c r="N11" s="163"/>
      <c r="O11" s="163"/>
      <c r="P11" s="176" t="s">
        <v>67</v>
      </c>
      <c r="Q11" s="176"/>
      <c r="R11" s="176"/>
      <c r="S11" s="176"/>
      <c r="AC11" t="e">
        <f>CONCATENATE(#REF!,B11)</f>
        <v>#REF!</v>
      </c>
      <c r="AD11" t="str">
        <f>IF(L11="","",L11/M11)</f>
        <v/>
      </c>
    </row>
    <row r="12" spans="1:30" x14ac:dyDescent="0.35">
      <c r="A12" s="162">
        <v>2</v>
      </c>
      <c r="B12" s="163" t="s">
        <v>25</v>
      </c>
      <c r="C12" s="163"/>
      <c r="D12" s="163"/>
      <c r="E12" s="163"/>
      <c r="F12" s="163"/>
      <c r="G12" s="180"/>
      <c r="H12" s="180"/>
      <c r="I12" s="180"/>
      <c r="J12" s="180"/>
      <c r="K12" s="180"/>
      <c r="L12" s="180"/>
      <c r="M12" s="180"/>
      <c r="N12" s="219"/>
      <c r="O12" s="219"/>
      <c r="P12" s="176" t="s">
        <v>68</v>
      </c>
      <c r="Q12" s="176"/>
      <c r="R12" s="176"/>
      <c r="S12" s="176"/>
    </row>
    <row r="13" spans="1:30" x14ac:dyDescent="0.35">
      <c r="A13" s="162">
        <v>3</v>
      </c>
      <c r="B13" s="163" t="s">
        <v>26</v>
      </c>
      <c r="C13" s="163"/>
      <c r="D13" s="163"/>
      <c r="E13" s="163"/>
      <c r="F13" s="163"/>
      <c r="G13" s="180"/>
      <c r="H13" s="180"/>
      <c r="I13" s="180"/>
      <c r="J13" s="180"/>
      <c r="K13" s="180"/>
      <c r="L13" s="180"/>
      <c r="M13" s="180"/>
      <c r="N13" s="219"/>
      <c r="O13" s="219"/>
      <c r="P13" s="176" t="s">
        <v>68</v>
      </c>
      <c r="Q13" s="176"/>
      <c r="R13" s="176"/>
      <c r="S13" s="176"/>
    </row>
    <row r="14" spans="1:30" x14ac:dyDescent="0.35">
      <c r="A14" s="162">
        <v>4</v>
      </c>
      <c r="B14" s="163" t="s">
        <v>27</v>
      </c>
      <c r="C14" s="163"/>
      <c r="D14" s="163"/>
      <c r="E14" s="163"/>
      <c r="F14" s="163"/>
      <c r="G14" s="180"/>
      <c r="H14" s="180"/>
      <c r="I14" s="180"/>
      <c r="J14" s="180"/>
      <c r="K14" s="180"/>
      <c r="L14" s="180"/>
      <c r="M14" s="180"/>
      <c r="N14" s="219"/>
      <c r="O14" s="219"/>
      <c r="P14" s="176" t="s">
        <v>69</v>
      </c>
      <c r="Q14" s="176"/>
      <c r="R14" s="176"/>
      <c r="S14" s="176"/>
    </row>
    <row r="15" spans="1:30" x14ac:dyDescent="0.35">
      <c r="A15" s="162">
        <v>5</v>
      </c>
      <c r="B15" s="163" t="s">
        <v>28</v>
      </c>
      <c r="C15" s="163"/>
      <c r="D15" s="163"/>
      <c r="E15" s="163"/>
      <c r="F15" s="163"/>
      <c r="G15" s="180"/>
      <c r="H15" s="180"/>
      <c r="I15" s="180"/>
      <c r="J15" s="180"/>
      <c r="K15" s="180"/>
      <c r="L15" s="180"/>
      <c r="M15" s="180"/>
      <c r="N15" s="219"/>
      <c r="O15" s="219"/>
      <c r="P15" s="176" t="s">
        <v>70</v>
      </c>
      <c r="Q15" s="176"/>
      <c r="R15" s="176"/>
      <c r="S15" s="176"/>
    </row>
    <row r="16" spans="1:30" x14ac:dyDescent="0.35">
      <c r="A16" s="162">
        <v>6</v>
      </c>
      <c r="B16" s="163" t="s">
        <v>29</v>
      </c>
      <c r="C16" s="163"/>
      <c r="D16" s="163"/>
      <c r="E16" s="163"/>
      <c r="F16" s="163"/>
      <c r="G16" s="180"/>
      <c r="H16" s="180"/>
      <c r="I16" s="180"/>
      <c r="J16" s="180"/>
      <c r="K16" s="180"/>
      <c r="L16" s="180"/>
      <c r="M16" s="180"/>
      <c r="N16" s="219"/>
      <c r="O16" s="219"/>
      <c r="P16" s="176" t="s">
        <v>70</v>
      </c>
      <c r="Q16" s="176"/>
      <c r="R16" s="176"/>
      <c r="S16" s="176"/>
    </row>
    <row r="17" spans="1:30" x14ac:dyDescent="0.35">
      <c r="A17" s="162">
        <v>7</v>
      </c>
      <c r="B17" s="163" t="s">
        <v>30</v>
      </c>
      <c r="C17" s="163"/>
      <c r="D17" s="163"/>
      <c r="E17" s="163"/>
      <c r="F17" s="163"/>
      <c r="G17" s="180"/>
      <c r="H17" s="180"/>
      <c r="I17" s="180"/>
      <c r="J17" s="180"/>
      <c r="K17" s="180"/>
      <c r="L17" s="180"/>
      <c r="M17" s="180"/>
      <c r="N17" s="219"/>
      <c r="O17" s="219"/>
      <c r="P17" s="176" t="s">
        <v>71</v>
      </c>
      <c r="Q17" s="176"/>
      <c r="R17" s="176"/>
      <c r="S17" s="176"/>
    </row>
    <row r="18" spans="1:30" x14ac:dyDescent="0.35">
      <c r="A18" s="162">
        <v>8</v>
      </c>
      <c r="B18" s="163" t="s">
        <v>31</v>
      </c>
      <c r="C18" s="163"/>
      <c r="D18" s="163"/>
      <c r="E18" s="163"/>
      <c r="F18" s="163"/>
      <c r="G18" s="180"/>
      <c r="H18" s="180"/>
      <c r="I18" s="180"/>
      <c r="J18" s="180"/>
      <c r="K18" s="180"/>
      <c r="L18" s="180"/>
      <c r="M18" s="180"/>
      <c r="N18" s="219"/>
      <c r="O18" s="219"/>
      <c r="P18" s="176" t="s">
        <v>72</v>
      </c>
      <c r="Q18" s="176"/>
      <c r="R18" s="176"/>
      <c r="S18" s="176"/>
    </row>
    <row r="19" spans="1:30" x14ac:dyDescent="0.35">
      <c r="A19" s="162">
        <v>9</v>
      </c>
      <c r="B19" s="163" t="s">
        <v>32</v>
      </c>
      <c r="C19" s="163"/>
      <c r="D19" s="163"/>
      <c r="E19" s="163"/>
      <c r="F19" s="163"/>
      <c r="G19" s="180"/>
      <c r="H19" s="180"/>
      <c r="I19" s="180"/>
      <c r="J19" s="180"/>
      <c r="K19" s="180"/>
      <c r="L19" s="180"/>
      <c r="M19" s="180"/>
      <c r="N19" s="219"/>
      <c r="O19" s="219"/>
      <c r="P19" s="176" t="s">
        <v>72</v>
      </c>
      <c r="Q19" s="176"/>
      <c r="R19" s="176"/>
      <c r="S19" s="176"/>
    </row>
    <row r="20" spans="1:30" x14ac:dyDescent="0.35">
      <c r="A20" s="162">
        <v>10</v>
      </c>
      <c r="B20" s="163" t="s">
        <v>33</v>
      </c>
      <c r="C20" s="237">
        <v>24</v>
      </c>
      <c r="D20" s="237">
        <v>0</v>
      </c>
      <c r="E20" s="237">
        <v>2</v>
      </c>
      <c r="F20" s="237">
        <v>0</v>
      </c>
      <c r="G20" s="237">
        <f>C20+E20-F20</f>
        <v>26</v>
      </c>
      <c r="H20" s="237">
        <v>23</v>
      </c>
      <c r="I20" s="237">
        <v>3</v>
      </c>
      <c r="J20" s="237">
        <v>0</v>
      </c>
      <c r="K20" s="237">
        <f>SUM(H20:J20)</f>
        <v>26</v>
      </c>
      <c r="L20" s="238">
        <v>1740</v>
      </c>
      <c r="M20" s="238">
        <v>580</v>
      </c>
      <c r="N20" s="238">
        <f>O20*I20</f>
        <v>1788.6000000000001</v>
      </c>
      <c r="O20" s="238">
        <v>596.20000000000005</v>
      </c>
      <c r="P20" s="176" t="s">
        <v>72</v>
      </c>
      <c r="Q20" s="176">
        <f>80-46</f>
        <v>34</v>
      </c>
      <c r="R20" s="176"/>
      <c r="S20" s="176"/>
      <c r="V20">
        <v>618.59999999999991</v>
      </c>
      <c r="W20">
        <v>206.2</v>
      </c>
    </row>
    <row r="21" spans="1:30" x14ac:dyDescent="0.35">
      <c r="A21" s="162">
        <v>11</v>
      </c>
      <c r="B21" s="164" t="s">
        <v>96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176"/>
      <c r="Q21" s="176"/>
      <c r="R21" s="176"/>
      <c r="S21" s="176"/>
    </row>
    <row r="22" spans="1:30" x14ac:dyDescent="0.35">
      <c r="A22" s="162">
        <v>12</v>
      </c>
      <c r="B22" s="163" t="s">
        <v>34</v>
      </c>
      <c r="C22" s="237">
        <f>175-100-54</f>
        <v>21</v>
      </c>
      <c r="D22" s="237">
        <v>0</v>
      </c>
      <c r="E22" s="237">
        <v>0</v>
      </c>
      <c r="F22" s="237">
        <v>0</v>
      </c>
      <c r="G22" s="237">
        <f t="shared" ref="G22:G24" si="0">C22+E22-F22</f>
        <v>21</v>
      </c>
      <c r="H22" s="237">
        <f>175-100-27-27</f>
        <v>21</v>
      </c>
      <c r="I22" s="237">
        <f>27-27</f>
        <v>0</v>
      </c>
      <c r="J22" s="237">
        <v>0</v>
      </c>
      <c r="K22" s="237">
        <f t="shared" ref="K22:K24" si="1">SUM(H22:J22)</f>
        <v>21</v>
      </c>
      <c r="L22" s="238">
        <v>0</v>
      </c>
      <c r="M22" s="238">
        <f>2032.41-2032.41</f>
        <v>0</v>
      </c>
      <c r="N22" s="238">
        <f>609*I22</f>
        <v>0</v>
      </c>
      <c r="O22" s="238">
        <v>0</v>
      </c>
      <c r="P22" s="176" t="s">
        <v>73</v>
      </c>
      <c r="Q22" s="235">
        <f>562-261-172</f>
        <v>129</v>
      </c>
      <c r="R22" s="235"/>
      <c r="S22" s="176"/>
      <c r="V22">
        <v>0</v>
      </c>
      <c r="W22">
        <v>0</v>
      </c>
    </row>
    <row r="23" spans="1:30" x14ac:dyDescent="0.35">
      <c r="A23" s="162">
        <v>13</v>
      </c>
      <c r="B23" s="163" t="s">
        <v>35</v>
      </c>
      <c r="C23" s="237">
        <v>1207</v>
      </c>
      <c r="D23" s="237">
        <v>0</v>
      </c>
      <c r="E23" s="237">
        <v>3</v>
      </c>
      <c r="F23" s="237">
        <v>1</v>
      </c>
      <c r="G23" s="237">
        <f t="shared" si="0"/>
        <v>1209</v>
      </c>
      <c r="H23" s="237">
        <v>413</v>
      </c>
      <c r="I23" s="237">
        <v>454</v>
      </c>
      <c r="J23" s="237">
        <v>342</v>
      </c>
      <c r="K23" s="237">
        <f t="shared" si="1"/>
        <v>1209</v>
      </c>
      <c r="L23" s="239">
        <v>447190</v>
      </c>
      <c r="M23" s="239">
        <v>985</v>
      </c>
      <c r="N23" s="239">
        <f>O23*I23</f>
        <v>494769.19999999995</v>
      </c>
      <c r="O23" s="239">
        <v>1089.8</v>
      </c>
      <c r="P23" s="176" t="s">
        <v>89</v>
      </c>
      <c r="Q23" s="235">
        <f>5047-2300+20</f>
        <v>2767</v>
      </c>
      <c r="R23" s="235"/>
      <c r="S23" s="176"/>
      <c r="V23">
        <v>127029.20000000001</v>
      </c>
      <c r="W23">
        <v>279.8</v>
      </c>
      <c r="X23" s="28"/>
    </row>
    <row r="24" spans="1:30" x14ac:dyDescent="0.35">
      <c r="A24" s="162">
        <v>14</v>
      </c>
      <c r="B24" s="163" t="s">
        <v>36</v>
      </c>
      <c r="C24" s="237">
        <v>389</v>
      </c>
      <c r="D24" s="237">
        <v>0</v>
      </c>
      <c r="E24" s="237">
        <v>4</v>
      </c>
      <c r="F24" s="237">
        <v>0</v>
      </c>
      <c r="G24" s="237">
        <f t="shared" si="0"/>
        <v>393</v>
      </c>
      <c r="H24" s="237">
        <v>0</v>
      </c>
      <c r="I24" s="237">
        <v>393</v>
      </c>
      <c r="J24" s="237">
        <v>0</v>
      </c>
      <c r="K24" s="237">
        <f t="shared" si="1"/>
        <v>393</v>
      </c>
      <c r="L24" s="240">
        <v>3389800.46</v>
      </c>
      <c r="M24" s="239">
        <v>8714.14</v>
      </c>
      <c r="N24" s="239">
        <f>O24*I24</f>
        <v>3417135</v>
      </c>
      <c r="O24" s="239">
        <v>8695</v>
      </c>
      <c r="P24" s="176" t="s">
        <v>75</v>
      </c>
      <c r="Q24" s="235">
        <f>1523-1000+84+7</f>
        <v>614</v>
      </c>
      <c r="R24" s="235"/>
      <c r="S24" s="176"/>
      <c r="V24">
        <v>863028</v>
      </c>
      <c r="W24">
        <v>2196</v>
      </c>
    </row>
    <row r="25" spans="1:30" x14ac:dyDescent="0.35">
      <c r="A25" s="162">
        <v>15</v>
      </c>
      <c r="B25" s="163" t="s">
        <v>37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176" t="s">
        <v>74</v>
      </c>
      <c r="Q25" s="176"/>
      <c r="R25" s="176"/>
      <c r="S25" s="176"/>
    </row>
    <row r="26" spans="1:30" x14ac:dyDescent="0.35">
      <c r="A26" s="162">
        <v>16</v>
      </c>
      <c r="B26" s="163" t="s">
        <v>38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176" t="s">
        <v>76</v>
      </c>
      <c r="Q26" s="176"/>
      <c r="R26" s="176"/>
      <c r="S26" s="176"/>
    </row>
    <row r="27" spans="1:30" x14ac:dyDescent="0.35">
      <c r="A27" s="162">
        <v>17</v>
      </c>
      <c r="B27" s="163" t="s">
        <v>39</v>
      </c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176" t="s">
        <v>77</v>
      </c>
      <c r="Q27" s="176"/>
      <c r="R27" s="176"/>
      <c r="S27" s="176"/>
      <c r="AC27" t="e">
        <f>CONCATENATE(#REF!,B28)</f>
        <v>#REF!</v>
      </c>
      <c r="AD27" t="str">
        <f t="shared" ref="AD27:AD37" si="2">IF(L28="","",L28/M28)</f>
        <v/>
      </c>
    </row>
    <row r="28" spans="1:30" x14ac:dyDescent="0.35">
      <c r="A28" s="162">
        <v>18</v>
      </c>
      <c r="B28" s="163" t="s">
        <v>40</v>
      </c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176" t="s">
        <v>78</v>
      </c>
      <c r="Q28" s="176"/>
      <c r="R28" s="176"/>
      <c r="S28" s="176"/>
      <c r="AC28" t="e">
        <f>CONCATENATE(#REF!,B29)</f>
        <v>#REF!</v>
      </c>
      <c r="AD28" t="str">
        <f t="shared" si="2"/>
        <v/>
      </c>
    </row>
    <row r="29" spans="1:30" x14ac:dyDescent="0.35">
      <c r="A29" s="162">
        <v>19</v>
      </c>
      <c r="B29" s="163" t="s">
        <v>41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176" t="s">
        <v>79</v>
      </c>
      <c r="Q29" s="176"/>
      <c r="R29" s="176"/>
      <c r="S29" s="176"/>
      <c r="AC29" t="e">
        <f>CONCATENATE(#REF!,B30)</f>
        <v>#REF!</v>
      </c>
      <c r="AD29" t="str">
        <f t="shared" si="2"/>
        <v/>
      </c>
    </row>
    <row r="30" spans="1:30" x14ac:dyDescent="0.35">
      <c r="A30" s="162">
        <v>20</v>
      </c>
      <c r="B30" s="163" t="s">
        <v>42</v>
      </c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176" t="s">
        <v>80</v>
      </c>
      <c r="Q30" s="176"/>
      <c r="R30" s="176"/>
      <c r="S30" s="176"/>
      <c r="AC30" t="e">
        <f>CONCATENATE(#REF!,B31)</f>
        <v>#REF!</v>
      </c>
      <c r="AD30" t="str">
        <f t="shared" si="2"/>
        <v/>
      </c>
    </row>
    <row r="31" spans="1:30" x14ac:dyDescent="0.35">
      <c r="A31" s="162">
        <v>21</v>
      </c>
      <c r="B31" s="163" t="s">
        <v>43</v>
      </c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176" t="s">
        <v>69</v>
      </c>
      <c r="Q31" s="176"/>
      <c r="R31" s="176"/>
      <c r="S31" s="176"/>
      <c r="AC31" t="e">
        <f>CONCATENATE(#REF!,B32)</f>
        <v>#REF!</v>
      </c>
      <c r="AD31" t="str">
        <f t="shared" si="2"/>
        <v/>
      </c>
    </row>
    <row r="32" spans="1:30" x14ac:dyDescent="0.35">
      <c r="A32" s="162">
        <v>22</v>
      </c>
      <c r="B32" s="163" t="s">
        <v>44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176" t="s">
        <v>81</v>
      </c>
      <c r="Q32" s="176"/>
      <c r="R32" s="176"/>
      <c r="S32" s="176"/>
      <c r="AC32" t="e">
        <f>CONCATENATE(#REF!,B33)</f>
        <v>#REF!</v>
      </c>
      <c r="AD32" t="e">
        <f t="shared" si="2"/>
        <v>#DIV/0!</v>
      </c>
    </row>
    <row r="33" spans="1:30" x14ac:dyDescent="0.35">
      <c r="A33" s="162">
        <v>23</v>
      </c>
      <c r="B33" s="163" t="s">
        <v>45</v>
      </c>
      <c r="C33" s="237">
        <v>3.5</v>
      </c>
      <c r="D33" s="237">
        <v>0</v>
      </c>
      <c r="E33" s="237">
        <v>1</v>
      </c>
      <c r="F33" s="237">
        <v>0</v>
      </c>
      <c r="G33" s="237">
        <f t="shared" ref="G33:G34" si="3">C33+E33-F33</f>
        <v>4.5</v>
      </c>
      <c r="H33" s="237">
        <v>4.5</v>
      </c>
      <c r="I33" s="237">
        <v>0</v>
      </c>
      <c r="J33" s="237">
        <v>0</v>
      </c>
      <c r="K33" s="237">
        <f t="shared" ref="K33:K34" si="4">SUM(H33:J33)</f>
        <v>4.5</v>
      </c>
      <c r="L33" s="241">
        <f>597*I33</f>
        <v>0</v>
      </c>
      <c r="M33" s="237">
        <v>0</v>
      </c>
      <c r="N33" s="237">
        <f>119*I33+86*I33</f>
        <v>0</v>
      </c>
      <c r="O33" s="237">
        <v>0</v>
      </c>
      <c r="P33" s="176" t="s">
        <v>81</v>
      </c>
      <c r="Q33" s="176">
        <f>124-60</f>
        <v>64</v>
      </c>
      <c r="R33" s="176"/>
      <c r="S33" s="176"/>
      <c r="V33">
        <v>0</v>
      </c>
      <c r="W33">
        <v>0</v>
      </c>
      <c r="AC33" t="e">
        <f>CONCATENATE(#REF!,B34)</f>
        <v>#REF!</v>
      </c>
      <c r="AD33" t="e">
        <f t="shared" si="2"/>
        <v>#DIV/0!</v>
      </c>
    </row>
    <row r="34" spans="1:30" x14ac:dyDescent="0.35">
      <c r="A34" s="162">
        <v>24</v>
      </c>
      <c r="B34" s="163" t="s">
        <v>46</v>
      </c>
      <c r="C34" s="237">
        <v>4</v>
      </c>
      <c r="D34" s="237">
        <v>0</v>
      </c>
      <c r="E34" s="237">
        <v>2</v>
      </c>
      <c r="F34" s="237">
        <v>0</v>
      </c>
      <c r="G34" s="237">
        <f t="shared" si="3"/>
        <v>6</v>
      </c>
      <c r="H34" s="237">
        <v>6</v>
      </c>
      <c r="I34" s="237">
        <v>0</v>
      </c>
      <c r="J34" s="237">
        <v>0</v>
      </c>
      <c r="K34" s="237">
        <f t="shared" si="4"/>
        <v>6</v>
      </c>
      <c r="L34" s="237">
        <v>0</v>
      </c>
      <c r="M34" s="237">
        <v>0</v>
      </c>
      <c r="N34" s="237">
        <v>0</v>
      </c>
      <c r="O34" s="237">
        <v>0</v>
      </c>
      <c r="P34" s="176" t="s">
        <v>72</v>
      </c>
      <c r="Q34" s="176">
        <v>27</v>
      </c>
      <c r="R34" s="176"/>
      <c r="S34" s="176"/>
      <c r="V34">
        <v>0</v>
      </c>
      <c r="W34">
        <v>0</v>
      </c>
      <c r="AC34" t="e">
        <f>CONCATENATE(#REF!,B35)</f>
        <v>#REF!</v>
      </c>
      <c r="AD34" t="str">
        <f t="shared" si="2"/>
        <v/>
      </c>
    </row>
    <row r="35" spans="1:30" x14ac:dyDescent="0.35">
      <c r="A35" s="162">
        <v>25</v>
      </c>
      <c r="B35" s="163" t="s">
        <v>47</v>
      </c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176" t="s">
        <v>75</v>
      </c>
      <c r="Q35" s="176"/>
      <c r="R35" s="176"/>
      <c r="S35" s="176"/>
      <c r="AC35" t="e">
        <f>CONCATENATE(#REF!,B36)</f>
        <v>#REF!</v>
      </c>
      <c r="AD35" t="str">
        <f t="shared" si="2"/>
        <v/>
      </c>
    </row>
    <row r="36" spans="1:30" x14ac:dyDescent="0.35">
      <c r="A36" s="162">
        <v>26</v>
      </c>
      <c r="B36" s="163" t="s">
        <v>48</v>
      </c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176" t="s">
        <v>72</v>
      </c>
      <c r="Q36" s="176"/>
      <c r="R36" s="176"/>
      <c r="S36" s="176"/>
      <c r="AC36" t="e">
        <f>CONCATENATE(#REF!,B37)</f>
        <v>#REF!</v>
      </c>
      <c r="AD36" t="str">
        <f t="shared" si="2"/>
        <v/>
      </c>
    </row>
    <row r="37" spans="1:30" x14ac:dyDescent="0.35">
      <c r="A37" s="162">
        <v>27</v>
      </c>
      <c r="B37" s="163" t="s">
        <v>49</v>
      </c>
      <c r="C37" s="163"/>
      <c r="D37" s="163"/>
      <c r="E37" s="163"/>
      <c r="F37" s="163"/>
      <c r="G37" s="180"/>
      <c r="H37" s="180"/>
      <c r="I37" s="180"/>
      <c r="J37" s="180"/>
      <c r="K37" s="180"/>
      <c r="L37" s="180"/>
      <c r="M37" s="180"/>
      <c r="N37" s="163"/>
      <c r="O37" s="163"/>
      <c r="P37" s="176" t="s">
        <v>84</v>
      </c>
      <c r="Q37" s="176"/>
      <c r="R37" s="176"/>
      <c r="S37" s="176"/>
      <c r="AC37" t="e">
        <f>CONCATENATE(#REF!,B38)</f>
        <v>#REF!</v>
      </c>
      <c r="AD37" t="str">
        <f t="shared" si="2"/>
        <v/>
      </c>
    </row>
    <row r="38" spans="1:30" x14ac:dyDescent="0.35">
      <c r="A38" s="162">
        <v>28</v>
      </c>
      <c r="B38" s="163" t="s">
        <v>50</v>
      </c>
      <c r="C38" s="163"/>
      <c r="D38" s="163"/>
      <c r="E38" s="163"/>
      <c r="F38" s="163"/>
      <c r="G38" s="180"/>
      <c r="H38" s="180"/>
      <c r="I38" s="180"/>
      <c r="J38" s="180"/>
      <c r="K38" s="180"/>
      <c r="L38" s="180"/>
      <c r="M38" s="180"/>
      <c r="N38" s="163"/>
      <c r="O38" s="163"/>
      <c r="P38" s="176" t="s">
        <v>77</v>
      </c>
      <c r="Q38" s="176"/>
      <c r="R38" s="176"/>
      <c r="S38" s="176"/>
      <c r="AC38" t="e">
        <f>CONCATENATE(#REF!,#REF!)</f>
        <v>#REF!</v>
      </c>
    </row>
    <row r="39" spans="1:30" x14ac:dyDescent="0.35">
      <c r="A39" s="162">
        <v>29</v>
      </c>
      <c r="B39" s="163" t="s">
        <v>51</v>
      </c>
      <c r="C39" s="163"/>
      <c r="D39" s="163"/>
      <c r="E39" s="163"/>
      <c r="F39" s="163"/>
      <c r="G39" s="180"/>
      <c r="H39" s="180"/>
      <c r="I39" s="180"/>
      <c r="J39" s="180"/>
      <c r="K39" s="180"/>
      <c r="L39" s="180"/>
      <c r="M39" s="180"/>
      <c r="N39" s="163"/>
      <c r="O39" s="163"/>
      <c r="P39" s="176" t="s">
        <v>82</v>
      </c>
      <c r="Q39" s="176"/>
      <c r="R39" s="176"/>
      <c r="S39" s="176"/>
      <c r="AC39" t="e">
        <f>CONCATENATE(#REF!,B40)</f>
        <v>#REF!</v>
      </c>
      <c r="AD39" t="str">
        <f>IF(L40="","",L40/M40)</f>
        <v/>
      </c>
    </row>
    <row r="40" spans="1:30" x14ac:dyDescent="0.35">
      <c r="A40" s="162">
        <v>30</v>
      </c>
      <c r="B40" s="163" t="s">
        <v>52</v>
      </c>
      <c r="C40" s="163"/>
      <c r="D40" s="163"/>
      <c r="E40" s="163"/>
      <c r="F40" s="163"/>
      <c r="G40" s="180"/>
      <c r="H40" s="180"/>
      <c r="I40" s="180"/>
      <c r="J40" s="180"/>
      <c r="K40" s="180"/>
      <c r="L40" s="180"/>
      <c r="M40" s="180"/>
      <c r="N40" s="163"/>
      <c r="O40" s="163"/>
      <c r="P40" s="176" t="s">
        <v>83</v>
      </c>
      <c r="Q40" s="176"/>
      <c r="R40" s="176"/>
      <c r="S40" s="176"/>
    </row>
    <row r="41" spans="1:30" x14ac:dyDescent="0.35">
      <c r="A41" s="151"/>
      <c r="B41" s="151"/>
      <c r="C41" s="151"/>
      <c r="D41" s="151"/>
      <c r="E41" s="151"/>
      <c r="F41" s="151"/>
      <c r="G41" s="152"/>
      <c r="H41" s="152"/>
      <c r="I41" s="152"/>
      <c r="J41" s="152"/>
      <c r="K41" s="152"/>
      <c r="L41" s="152"/>
      <c r="M41" s="152"/>
      <c r="N41" s="151"/>
      <c r="O41" s="151"/>
      <c r="P41" s="151"/>
      <c r="Q41" s="151"/>
      <c r="R41" s="151"/>
      <c r="S41" s="151"/>
    </row>
    <row r="42" spans="1:30" x14ac:dyDescent="0.35">
      <c r="A42" s="151"/>
      <c r="B42" s="151"/>
      <c r="C42" s="151"/>
      <c r="D42" s="151"/>
      <c r="E42" s="151"/>
      <c r="F42" s="151"/>
      <c r="G42" s="152"/>
      <c r="H42" s="152"/>
      <c r="I42" s="152"/>
      <c r="J42" s="152"/>
      <c r="K42" s="152"/>
      <c r="L42" s="152"/>
      <c r="M42" s="152"/>
      <c r="N42" s="151"/>
      <c r="O42" s="151"/>
      <c r="P42" s="151"/>
      <c r="Q42" s="151"/>
      <c r="R42" s="151"/>
      <c r="S42" s="151"/>
    </row>
    <row r="43" spans="1:30" x14ac:dyDescent="0.35">
      <c r="A43" s="151"/>
      <c r="B43" s="151"/>
      <c r="C43" s="151"/>
      <c r="D43" s="151"/>
      <c r="E43" s="151"/>
      <c r="F43" s="151"/>
      <c r="G43" s="152"/>
      <c r="H43" s="152"/>
      <c r="I43" s="152"/>
      <c r="J43" s="152"/>
      <c r="K43" s="152"/>
      <c r="L43" s="152"/>
      <c r="M43" s="152"/>
      <c r="N43" s="151"/>
      <c r="O43" s="151"/>
      <c r="P43" s="286" t="s">
        <v>110</v>
      </c>
      <c r="Q43" s="286"/>
      <c r="R43" s="286"/>
      <c r="S43" s="151"/>
    </row>
    <row r="44" spans="1:30" x14ac:dyDescent="0.35">
      <c r="A44" s="151"/>
      <c r="B44" s="151"/>
      <c r="C44" s="151"/>
      <c r="D44" s="151"/>
      <c r="E44" s="151"/>
      <c r="F44" s="151"/>
      <c r="G44" s="152"/>
      <c r="H44" s="152"/>
      <c r="I44" s="152"/>
      <c r="J44" s="152"/>
      <c r="K44" s="152"/>
      <c r="L44" s="152"/>
      <c r="M44" s="152"/>
      <c r="N44" s="151"/>
      <c r="O44" s="151"/>
      <c r="P44" s="190"/>
      <c r="Q44" s="190"/>
      <c r="R44" s="190"/>
      <c r="S44" s="151"/>
    </row>
    <row r="45" spans="1:30" x14ac:dyDescent="0.35">
      <c r="A45" s="151"/>
      <c r="B45" s="151"/>
      <c r="C45" s="151"/>
      <c r="D45" s="151"/>
      <c r="E45" s="151"/>
      <c r="F45" s="151"/>
      <c r="G45" s="152"/>
      <c r="H45" s="152"/>
      <c r="I45" s="152"/>
      <c r="J45" s="152"/>
      <c r="K45" s="152"/>
      <c r="L45" s="152"/>
      <c r="M45" s="152"/>
      <c r="N45" s="151"/>
      <c r="O45" s="151"/>
      <c r="P45" s="190"/>
      <c r="Q45" s="190"/>
      <c r="R45" s="190"/>
      <c r="S45" s="151"/>
    </row>
    <row r="46" spans="1:30" x14ac:dyDescent="0.35">
      <c r="A46" s="151"/>
      <c r="B46" s="151"/>
      <c r="C46" s="151"/>
      <c r="D46" s="151"/>
      <c r="E46" s="151"/>
      <c r="F46" s="151"/>
      <c r="G46" s="152"/>
      <c r="H46" s="152"/>
      <c r="I46" s="152"/>
      <c r="J46" s="152"/>
      <c r="K46" s="152"/>
      <c r="L46" s="152"/>
      <c r="M46" s="152"/>
      <c r="N46" s="151"/>
      <c r="O46" s="151"/>
      <c r="P46" s="190"/>
      <c r="Q46" s="190"/>
      <c r="R46" s="190"/>
      <c r="S46" s="151"/>
    </row>
    <row r="47" spans="1:30" x14ac:dyDescent="0.35">
      <c r="A47" s="151"/>
      <c r="B47" s="151"/>
      <c r="C47" s="151"/>
      <c r="D47" s="151"/>
      <c r="E47" s="151"/>
      <c r="F47" s="151"/>
      <c r="G47" s="152"/>
      <c r="H47" s="152"/>
      <c r="I47" s="152"/>
      <c r="J47" s="152"/>
      <c r="K47" s="152"/>
      <c r="L47" s="152"/>
      <c r="M47" s="152"/>
      <c r="N47" s="151"/>
      <c r="O47" s="151"/>
      <c r="P47" s="293" t="s">
        <v>145</v>
      </c>
      <c r="Q47" s="293"/>
      <c r="R47" s="293"/>
      <c r="S47" s="151"/>
    </row>
    <row r="48" spans="1:30" x14ac:dyDescent="0.35">
      <c r="A48" s="151"/>
      <c r="B48" s="151"/>
      <c r="C48" s="151"/>
      <c r="D48" s="151"/>
      <c r="E48" s="151"/>
      <c r="F48" s="151"/>
      <c r="G48" s="152"/>
      <c r="H48" s="152"/>
      <c r="I48" s="152"/>
      <c r="J48" s="152"/>
      <c r="K48" s="152"/>
      <c r="L48" s="152"/>
      <c r="M48" s="152"/>
      <c r="N48" s="151"/>
      <c r="O48" s="151"/>
      <c r="P48" s="285"/>
      <c r="Q48" s="285"/>
      <c r="R48" s="285"/>
      <c r="S48" s="151"/>
    </row>
    <row r="49" spans="1:19" x14ac:dyDescent="0.35">
      <c r="A49" s="151"/>
      <c r="B49" s="151"/>
      <c r="C49" s="151"/>
      <c r="D49" s="151"/>
      <c r="E49" s="151"/>
      <c r="F49" s="151"/>
      <c r="G49" s="152"/>
      <c r="H49" s="152"/>
      <c r="I49" s="152"/>
      <c r="J49" s="152"/>
      <c r="K49" s="152"/>
      <c r="L49" s="152"/>
      <c r="M49" s="152"/>
      <c r="N49" s="151"/>
      <c r="O49" s="151"/>
      <c r="P49" s="151"/>
      <c r="Q49" s="151"/>
      <c r="R49" s="151"/>
      <c r="S49" s="151"/>
    </row>
  </sheetData>
  <mergeCells count="14">
    <mergeCell ref="P43:R43"/>
    <mergeCell ref="P47:R47"/>
    <mergeCell ref="P48:R48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5" right="0.5" top="0.24803149599999999" bottom="0.74803149606299202" header="0.31496062992126" footer="0.31496062992126"/>
  <pageSetup paperSize="5" scale="70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AD45"/>
  <sheetViews>
    <sheetView zoomScale="90" zoomScaleNormal="90" workbookViewId="0">
      <selection activeCell="O24" sqref="O24"/>
    </sheetView>
  </sheetViews>
  <sheetFormatPr defaultRowHeight="14.5" x14ac:dyDescent="0.35"/>
  <cols>
    <col min="1" max="1" width="4.26953125" customWidth="1"/>
    <col min="2" max="2" width="19.26953125" customWidth="1"/>
    <col min="3" max="3" width="10.453125" customWidth="1"/>
    <col min="4" max="4" width="9.81640625" customWidth="1"/>
    <col min="5" max="5" width="8.81640625" customWidth="1"/>
    <col min="6" max="6" width="8" customWidth="1"/>
    <col min="7" max="7" width="10.1796875" style="32" bestFit="1" customWidth="1"/>
    <col min="8" max="8" width="9" style="32" customWidth="1"/>
    <col min="9" max="9" width="9.453125" style="32" bestFit="1" customWidth="1"/>
    <col min="10" max="11" width="10.7265625" style="32" customWidth="1"/>
    <col min="12" max="12" width="14.81640625" customWidth="1"/>
    <col min="13" max="13" width="10.1796875" bestFit="1" customWidth="1"/>
    <col min="14" max="14" width="14.1796875" customWidth="1"/>
    <col min="15" max="15" width="10.81640625" customWidth="1"/>
    <col min="16" max="16" width="16.7265625" customWidth="1"/>
    <col min="17" max="17" width="11.54296875" customWidth="1"/>
    <col min="18" max="18" width="8.7265625" customWidth="1"/>
    <col min="19" max="19" width="5.54296875" customWidth="1"/>
    <col min="20" max="20" width="11.1796875" customWidth="1"/>
    <col min="22" max="22" width="11" bestFit="1" customWidth="1"/>
    <col min="29" max="30" width="9.1796875" hidden="1" customWidth="1"/>
  </cols>
  <sheetData>
    <row r="1" spans="1:30" x14ac:dyDescent="0.35">
      <c r="A1" s="1" t="s">
        <v>57</v>
      </c>
      <c r="G1" s="30"/>
      <c r="H1" s="30"/>
      <c r="I1" s="30"/>
      <c r="J1" s="30"/>
      <c r="K1" s="30"/>
    </row>
    <row r="2" spans="1:30" x14ac:dyDescent="0.35">
      <c r="A2" s="2"/>
      <c r="G2" s="30"/>
      <c r="H2" s="30"/>
      <c r="I2" s="30"/>
      <c r="J2" s="30"/>
      <c r="K2" s="30"/>
    </row>
    <row r="3" spans="1:30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113"/>
    </row>
    <row r="4" spans="1:30" x14ac:dyDescent="0.35">
      <c r="A4" s="1"/>
      <c r="G4" s="30"/>
      <c r="H4" s="30"/>
      <c r="I4" s="30"/>
      <c r="J4" s="30"/>
      <c r="K4" s="30"/>
      <c r="R4" s="5"/>
      <c r="S4" s="6"/>
      <c r="T4" s="6"/>
    </row>
    <row r="5" spans="1:30" x14ac:dyDescent="0.35">
      <c r="A5" s="153" t="s">
        <v>175</v>
      </c>
      <c r="B5" s="151"/>
      <c r="C5" s="151" t="s">
        <v>191</v>
      </c>
      <c r="D5" s="151"/>
      <c r="E5" s="151"/>
      <c r="F5" s="213" t="s">
        <v>94</v>
      </c>
      <c r="G5" s="154"/>
      <c r="H5" s="154"/>
      <c r="I5" s="154"/>
      <c r="J5" s="154"/>
      <c r="K5" s="154"/>
      <c r="L5" s="151"/>
      <c r="M5" s="151"/>
      <c r="N5" s="213" t="s">
        <v>94</v>
      </c>
      <c r="O5" s="151"/>
      <c r="P5" s="151"/>
      <c r="Q5" s="151" t="s">
        <v>181</v>
      </c>
      <c r="R5" s="153" t="s">
        <v>182</v>
      </c>
      <c r="S5" s="151"/>
      <c r="V5" t="s">
        <v>94</v>
      </c>
    </row>
    <row r="6" spans="1:30" x14ac:dyDescent="0.35">
      <c r="A6" s="153" t="s">
        <v>176</v>
      </c>
      <c r="B6" s="151"/>
      <c r="C6" s="151" t="s">
        <v>172</v>
      </c>
      <c r="D6" s="151"/>
      <c r="E6" s="213"/>
      <c r="F6" s="151"/>
      <c r="G6" s="154"/>
      <c r="H6" s="154"/>
      <c r="I6" s="154"/>
      <c r="J6" s="154"/>
      <c r="K6" s="154"/>
      <c r="L6" s="151"/>
      <c r="M6" s="151"/>
      <c r="N6" s="213" t="s">
        <v>94</v>
      </c>
      <c r="O6" s="151"/>
      <c r="P6" s="151"/>
      <c r="Q6" s="151" t="s">
        <v>180</v>
      </c>
      <c r="R6" s="153" t="s">
        <v>203</v>
      </c>
      <c r="S6" s="151"/>
      <c r="V6" t="s">
        <v>94</v>
      </c>
    </row>
    <row r="7" spans="1:30" x14ac:dyDescent="0.35">
      <c r="A7" s="153" t="s">
        <v>177</v>
      </c>
      <c r="B7" s="151"/>
      <c r="C7" s="151" t="s">
        <v>174</v>
      </c>
      <c r="D7" s="151"/>
      <c r="E7" s="151"/>
      <c r="F7" s="151"/>
      <c r="G7" s="154"/>
      <c r="H7" s="154"/>
      <c r="I7" s="154"/>
      <c r="J7" s="154"/>
      <c r="K7" s="154"/>
      <c r="L7" s="151"/>
      <c r="M7" s="151"/>
      <c r="N7" s="151"/>
      <c r="O7" s="151"/>
      <c r="P7" s="151"/>
      <c r="Q7" s="151"/>
      <c r="R7" s="151"/>
      <c r="S7" s="151"/>
    </row>
    <row r="8" spans="1:30" s="11" customFormat="1" x14ac:dyDescent="0.35">
      <c r="A8" s="283" t="s">
        <v>3</v>
      </c>
      <c r="B8" s="283" t="s">
        <v>4</v>
      </c>
      <c r="C8" s="283" t="s">
        <v>23</v>
      </c>
      <c r="D8" s="283" t="s">
        <v>6</v>
      </c>
      <c r="E8" s="283"/>
      <c r="F8" s="283"/>
      <c r="G8" s="283"/>
      <c r="H8" s="283"/>
      <c r="I8" s="283"/>
      <c r="J8" s="283"/>
      <c r="K8" s="283"/>
      <c r="L8" s="283" t="s">
        <v>22</v>
      </c>
      <c r="M8" s="283"/>
      <c r="N8" s="283"/>
      <c r="O8" s="283"/>
      <c r="P8" s="155"/>
      <c r="Q8" s="156"/>
      <c r="R8" s="157"/>
      <c r="S8" s="155"/>
      <c r="AC8" s="11" t="s">
        <v>54</v>
      </c>
      <c r="AD8" s="11" t="s">
        <v>54</v>
      </c>
    </row>
    <row r="9" spans="1:30" s="11" customFormat="1" ht="29" x14ac:dyDescent="0.35">
      <c r="A9" s="283"/>
      <c r="B9" s="283"/>
      <c r="C9" s="283"/>
      <c r="D9" s="284" t="s">
        <v>7</v>
      </c>
      <c r="E9" s="284"/>
      <c r="F9" s="284"/>
      <c r="G9" s="284"/>
      <c r="H9" s="294" t="s">
        <v>12</v>
      </c>
      <c r="I9" s="294"/>
      <c r="J9" s="294"/>
      <c r="K9" s="294"/>
      <c r="L9" s="284" t="s">
        <v>13</v>
      </c>
      <c r="M9" s="284"/>
      <c r="N9" s="284" t="s">
        <v>15</v>
      </c>
      <c r="O9" s="284"/>
      <c r="P9" s="158"/>
      <c r="Q9" s="281" t="s">
        <v>17</v>
      </c>
      <c r="R9" s="282"/>
      <c r="S9" s="158" t="s">
        <v>104</v>
      </c>
      <c r="T9" s="114"/>
      <c r="V9" s="11" t="s">
        <v>15</v>
      </c>
      <c r="AC9" s="11" t="s">
        <v>56</v>
      </c>
      <c r="AD9" s="11" t="s">
        <v>56</v>
      </c>
    </row>
    <row r="10" spans="1:30" s="11" customFormat="1" ht="43.5" x14ac:dyDescent="0.35">
      <c r="A10" s="283"/>
      <c r="B10" s="283"/>
      <c r="C10" s="283"/>
      <c r="D10" s="159" t="s">
        <v>8</v>
      </c>
      <c r="E10" s="159" t="s">
        <v>9</v>
      </c>
      <c r="F10" s="159" t="s">
        <v>10</v>
      </c>
      <c r="G10" s="160" t="s">
        <v>11</v>
      </c>
      <c r="H10" s="160" t="s">
        <v>0</v>
      </c>
      <c r="I10" s="160" t="s">
        <v>1</v>
      </c>
      <c r="J10" s="160" t="s">
        <v>2</v>
      </c>
      <c r="K10" s="160" t="s">
        <v>11</v>
      </c>
      <c r="L10" s="159" t="s">
        <v>14</v>
      </c>
      <c r="M10" s="159" t="s">
        <v>21</v>
      </c>
      <c r="N10" s="159" t="s">
        <v>14</v>
      </c>
      <c r="O10" s="159" t="s">
        <v>21</v>
      </c>
      <c r="P10" s="161" t="s">
        <v>16</v>
      </c>
      <c r="Q10" s="159" t="s">
        <v>19</v>
      </c>
      <c r="R10" s="159" t="s">
        <v>20</v>
      </c>
      <c r="S10" s="161"/>
      <c r="T10" s="114"/>
      <c r="V10" s="11" t="s">
        <v>14</v>
      </c>
      <c r="W10" s="11" t="s">
        <v>21</v>
      </c>
      <c r="AC10" s="11" t="s">
        <v>55</v>
      </c>
      <c r="AD10" s="11" t="s">
        <v>55</v>
      </c>
    </row>
    <row r="11" spans="1:30" x14ac:dyDescent="0.35">
      <c r="A11" s="162">
        <v>1</v>
      </c>
      <c r="B11" s="163" t="s">
        <v>5</v>
      </c>
      <c r="C11" s="163"/>
      <c r="D11" s="163"/>
      <c r="E11" s="163"/>
      <c r="F11" s="163"/>
      <c r="G11" s="180"/>
      <c r="H11" s="180"/>
      <c r="I11" s="180"/>
      <c r="J11" s="180"/>
      <c r="K11" s="180"/>
      <c r="L11" s="163"/>
      <c r="M11" s="163"/>
      <c r="N11" s="163"/>
      <c r="O11" s="163"/>
      <c r="P11" s="163" t="s">
        <v>67</v>
      </c>
      <c r="Q11" s="163"/>
      <c r="R11" s="163"/>
      <c r="S11" s="163"/>
      <c r="T11" s="103"/>
      <c r="AC11" t="e">
        <f>CONCATENATE(#REF!,B11)</f>
        <v>#REF!</v>
      </c>
      <c r="AD11" t="str">
        <f>IF(L11="","",L11/M11)</f>
        <v/>
      </c>
    </row>
    <row r="12" spans="1:30" x14ac:dyDescent="0.35">
      <c r="A12" s="162">
        <v>2</v>
      </c>
      <c r="B12" s="163" t="s">
        <v>25</v>
      </c>
      <c r="C12" s="163"/>
      <c r="D12" s="163"/>
      <c r="E12" s="163"/>
      <c r="F12" s="163"/>
      <c r="G12" s="180"/>
      <c r="H12" s="180"/>
      <c r="I12" s="180"/>
      <c r="J12" s="180"/>
      <c r="K12" s="180"/>
      <c r="L12" s="163"/>
      <c r="M12" s="163"/>
      <c r="N12" s="163"/>
      <c r="O12" s="163"/>
      <c r="P12" s="163" t="s">
        <v>68</v>
      </c>
      <c r="Q12" s="163"/>
      <c r="R12" s="163"/>
      <c r="S12" s="163"/>
      <c r="T12" s="103"/>
      <c r="AC12" t="e">
        <f>CONCATENATE(#REF!,B12)</f>
        <v>#REF!</v>
      </c>
      <c r="AD12" t="str">
        <f t="shared" ref="AD12:AD20" si="0">IF(L12="","",L12/M12)</f>
        <v/>
      </c>
    </row>
    <row r="13" spans="1:30" x14ac:dyDescent="0.35">
      <c r="A13" s="162">
        <v>3</v>
      </c>
      <c r="B13" s="163" t="s">
        <v>26</v>
      </c>
      <c r="C13" s="163"/>
      <c r="D13" s="163"/>
      <c r="E13" s="163"/>
      <c r="F13" s="163"/>
      <c r="G13" s="180"/>
      <c r="H13" s="180"/>
      <c r="I13" s="180"/>
      <c r="J13" s="180"/>
      <c r="K13" s="180"/>
      <c r="L13" s="163"/>
      <c r="M13" s="163"/>
      <c r="N13" s="163"/>
      <c r="O13" s="163"/>
      <c r="P13" s="163" t="s">
        <v>68</v>
      </c>
      <c r="Q13" s="163"/>
      <c r="R13" s="163"/>
      <c r="S13" s="163"/>
      <c r="T13" s="103"/>
      <c r="AC13" t="e">
        <f>CONCATENATE(#REF!,B13)</f>
        <v>#REF!</v>
      </c>
      <c r="AD13" t="str">
        <f t="shared" si="0"/>
        <v/>
      </c>
    </row>
    <row r="14" spans="1:30" x14ac:dyDescent="0.35">
      <c r="A14" s="162">
        <v>4</v>
      </c>
      <c r="B14" s="163" t="s">
        <v>27</v>
      </c>
      <c r="C14" s="163"/>
      <c r="D14" s="163"/>
      <c r="E14" s="163"/>
      <c r="F14" s="163"/>
      <c r="G14" s="180"/>
      <c r="H14" s="180"/>
      <c r="I14" s="180"/>
      <c r="J14" s="180"/>
      <c r="K14" s="180"/>
      <c r="L14" s="163"/>
      <c r="M14" s="163"/>
      <c r="N14" s="163"/>
      <c r="O14" s="163"/>
      <c r="P14" s="163" t="s">
        <v>69</v>
      </c>
      <c r="Q14" s="163"/>
      <c r="R14" s="163"/>
      <c r="S14" s="163"/>
      <c r="T14" s="103"/>
      <c r="AC14" t="e">
        <f>CONCATENATE(#REF!,B14)</f>
        <v>#REF!</v>
      </c>
      <c r="AD14" t="str">
        <f t="shared" si="0"/>
        <v/>
      </c>
    </row>
    <row r="15" spans="1:30" x14ac:dyDescent="0.35">
      <c r="A15" s="162">
        <v>5</v>
      </c>
      <c r="B15" s="163" t="s">
        <v>28</v>
      </c>
      <c r="C15" s="163"/>
      <c r="D15" s="163"/>
      <c r="E15" s="163"/>
      <c r="F15" s="163"/>
      <c r="G15" s="180"/>
      <c r="H15" s="180"/>
      <c r="I15" s="180"/>
      <c r="J15" s="180"/>
      <c r="K15" s="180"/>
      <c r="L15" s="163"/>
      <c r="M15" s="163"/>
      <c r="N15" s="163"/>
      <c r="O15" s="163"/>
      <c r="P15" s="163" t="s">
        <v>70</v>
      </c>
      <c r="Q15" s="163"/>
      <c r="R15" s="163"/>
      <c r="S15" s="163"/>
      <c r="T15" s="103"/>
      <c r="AC15" t="e">
        <f>CONCATENATE(#REF!,B15)</f>
        <v>#REF!</v>
      </c>
      <c r="AD15" t="str">
        <f t="shared" si="0"/>
        <v/>
      </c>
    </row>
    <row r="16" spans="1:30" x14ac:dyDescent="0.35">
      <c r="A16" s="162">
        <v>6</v>
      </c>
      <c r="B16" s="163" t="s">
        <v>29</v>
      </c>
      <c r="C16" s="163"/>
      <c r="D16" s="163"/>
      <c r="E16" s="163"/>
      <c r="F16" s="163"/>
      <c r="G16" s="180"/>
      <c r="H16" s="180"/>
      <c r="I16" s="180"/>
      <c r="J16" s="180"/>
      <c r="K16" s="180"/>
      <c r="L16" s="163"/>
      <c r="M16" s="163"/>
      <c r="N16" s="163"/>
      <c r="O16" s="163"/>
      <c r="P16" s="163" t="s">
        <v>70</v>
      </c>
      <c r="Q16" s="163"/>
      <c r="R16" s="163"/>
      <c r="S16" s="163"/>
      <c r="T16" s="103"/>
      <c r="AC16" t="e">
        <f>CONCATENATE(#REF!,B16)</f>
        <v>#REF!</v>
      </c>
      <c r="AD16" t="str">
        <f t="shared" si="0"/>
        <v/>
      </c>
    </row>
    <row r="17" spans="1:30" x14ac:dyDescent="0.35">
      <c r="A17" s="162">
        <v>7</v>
      </c>
      <c r="B17" s="163" t="s">
        <v>30</v>
      </c>
      <c r="C17" s="163"/>
      <c r="D17" s="163"/>
      <c r="E17" s="163"/>
      <c r="F17" s="163"/>
      <c r="G17" s="180"/>
      <c r="H17" s="180"/>
      <c r="I17" s="180"/>
      <c r="J17" s="180"/>
      <c r="K17" s="180"/>
      <c r="L17" s="163"/>
      <c r="M17" s="163"/>
      <c r="N17" s="163"/>
      <c r="O17" s="163"/>
      <c r="P17" s="163" t="s">
        <v>71</v>
      </c>
      <c r="Q17" s="163"/>
      <c r="R17" s="163"/>
      <c r="S17" s="163"/>
      <c r="T17" s="103"/>
      <c r="AC17" t="e">
        <f>CONCATENATE(#REF!,B17)</f>
        <v>#REF!</v>
      </c>
      <c r="AD17" t="str">
        <f t="shared" si="0"/>
        <v/>
      </c>
    </row>
    <row r="18" spans="1:30" x14ac:dyDescent="0.35">
      <c r="A18" s="162">
        <v>8</v>
      </c>
      <c r="B18" s="163" t="s">
        <v>31</v>
      </c>
      <c r="C18" s="163"/>
      <c r="D18" s="163"/>
      <c r="E18" s="163"/>
      <c r="F18" s="163"/>
      <c r="G18" s="180"/>
      <c r="H18" s="180"/>
      <c r="I18" s="180"/>
      <c r="J18" s="180"/>
      <c r="K18" s="180"/>
      <c r="L18" s="163"/>
      <c r="M18" s="163"/>
      <c r="N18" s="163"/>
      <c r="O18" s="163"/>
      <c r="P18" s="163" t="s">
        <v>72</v>
      </c>
      <c r="Q18" s="163"/>
      <c r="R18" s="163"/>
      <c r="S18" s="163"/>
      <c r="T18" s="103"/>
      <c r="AC18" t="e">
        <f>CONCATENATE(#REF!,B18)</f>
        <v>#REF!</v>
      </c>
      <c r="AD18" t="str">
        <f t="shared" si="0"/>
        <v/>
      </c>
    </row>
    <row r="19" spans="1:30" x14ac:dyDescent="0.35">
      <c r="A19" s="162">
        <v>9</v>
      </c>
      <c r="B19" s="163" t="s">
        <v>32</v>
      </c>
      <c r="C19" s="163"/>
      <c r="D19" s="163"/>
      <c r="E19" s="163"/>
      <c r="F19" s="163"/>
      <c r="G19" s="180"/>
      <c r="H19" s="180"/>
      <c r="I19" s="180"/>
      <c r="J19" s="180"/>
      <c r="K19" s="180"/>
      <c r="L19" s="163"/>
      <c r="M19" s="163"/>
      <c r="N19" s="163"/>
      <c r="O19" s="163"/>
      <c r="P19" s="163" t="s">
        <v>72</v>
      </c>
      <c r="Q19" s="163"/>
      <c r="R19" s="163"/>
      <c r="S19" s="163"/>
      <c r="T19" s="103"/>
      <c r="AC19" t="e">
        <f>CONCATENATE(#REF!,B19)</f>
        <v>#REF!</v>
      </c>
      <c r="AD19" t="str">
        <f t="shared" si="0"/>
        <v/>
      </c>
    </row>
    <row r="20" spans="1:30" x14ac:dyDescent="0.35">
      <c r="A20" s="162">
        <v>10</v>
      </c>
      <c r="B20" s="163" t="s">
        <v>33</v>
      </c>
      <c r="C20" s="163"/>
      <c r="D20" s="163"/>
      <c r="E20" s="163"/>
      <c r="F20" s="163"/>
      <c r="G20" s="180"/>
      <c r="H20" s="180"/>
      <c r="I20" s="180"/>
      <c r="J20" s="180"/>
      <c r="K20" s="180"/>
      <c r="L20" s="163"/>
      <c r="M20" s="163"/>
      <c r="N20" s="163"/>
      <c r="O20" s="163"/>
      <c r="P20" s="163" t="s">
        <v>72</v>
      </c>
      <c r="Q20" s="163"/>
      <c r="R20" s="163"/>
      <c r="S20" s="163"/>
      <c r="T20" s="103"/>
      <c r="AC20" t="e">
        <f>CONCATENATE(#REF!,B20)</f>
        <v>#REF!</v>
      </c>
      <c r="AD20" t="str">
        <f t="shared" si="0"/>
        <v/>
      </c>
    </row>
    <row r="21" spans="1:30" x14ac:dyDescent="0.35">
      <c r="A21" s="162">
        <v>11</v>
      </c>
      <c r="B21" s="164" t="s">
        <v>96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03"/>
      <c r="AC21" t="e">
        <f>CONCATENATE(#REF!,B22)</f>
        <v>#REF!</v>
      </c>
      <c r="AD21">
        <f t="shared" ref="AD21:AD37" si="1">IF(L22="","",L22/M22)</f>
        <v>21</v>
      </c>
    </row>
    <row r="22" spans="1:30" x14ac:dyDescent="0.35">
      <c r="A22" s="162">
        <v>12</v>
      </c>
      <c r="B22" s="163" t="s">
        <v>34</v>
      </c>
      <c r="C22" s="224">
        <v>175</v>
      </c>
      <c r="D22" s="224">
        <v>0</v>
      </c>
      <c r="E22" s="224">
        <v>0</v>
      </c>
      <c r="F22" s="224">
        <v>0</v>
      </c>
      <c r="G22" s="224">
        <f>C22+E22-F22</f>
        <v>175</v>
      </c>
      <c r="H22" s="224">
        <f>154</f>
        <v>154</v>
      </c>
      <c r="I22" s="224">
        <v>21</v>
      </c>
      <c r="J22" s="224">
        <v>0</v>
      </c>
      <c r="K22" s="224">
        <f>SUM(H22:J22)</f>
        <v>175</v>
      </c>
      <c r="L22" s="224">
        <v>22764</v>
      </c>
      <c r="M22" s="224">
        <v>1084</v>
      </c>
      <c r="N22" s="224">
        <f>O22*I22</f>
        <v>17220</v>
      </c>
      <c r="O22" s="224">
        <v>820</v>
      </c>
      <c r="P22" s="163" t="s">
        <v>73</v>
      </c>
      <c r="Q22" s="163">
        <f>562-100</f>
        <v>462</v>
      </c>
      <c r="R22" s="163"/>
      <c r="S22" s="163"/>
      <c r="T22" s="103"/>
      <c r="V22" s="28">
        <v>8043</v>
      </c>
      <c r="W22">
        <v>383</v>
      </c>
      <c r="AC22" t="e">
        <f>CONCATENATE(#REF!,B23)</f>
        <v>#REF!</v>
      </c>
      <c r="AD22">
        <f t="shared" si="1"/>
        <v>581.21249999999998</v>
      </c>
    </row>
    <row r="23" spans="1:30" x14ac:dyDescent="0.35">
      <c r="A23" s="162">
        <v>13</v>
      </c>
      <c r="B23" s="163" t="s">
        <v>35</v>
      </c>
      <c r="C23" s="224">
        <v>1546</v>
      </c>
      <c r="D23" s="224">
        <v>0</v>
      </c>
      <c r="E23" s="224">
        <v>30</v>
      </c>
      <c r="F23" s="224">
        <v>0</v>
      </c>
      <c r="G23" s="224">
        <f t="shared" ref="G23:G24" si="2">C23+E23-F23</f>
        <v>1576</v>
      </c>
      <c r="H23" s="224">
        <f>965-100</f>
        <v>865</v>
      </c>
      <c r="I23" s="224">
        <f>611+100</f>
        <v>711</v>
      </c>
      <c r="J23" s="238" t="s">
        <v>92</v>
      </c>
      <c r="K23" s="224">
        <f t="shared" ref="K23:K24" si="3">SUM(H23:J23)</f>
        <v>1576</v>
      </c>
      <c r="L23" s="224">
        <v>557964</v>
      </c>
      <c r="M23" s="224">
        <v>960</v>
      </c>
      <c r="N23" s="224">
        <f>O23*I23</f>
        <v>799875</v>
      </c>
      <c r="O23" s="224">
        <v>1125</v>
      </c>
      <c r="P23" s="163" t="s">
        <v>74</v>
      </c>
      <c r="Q23" s="219">
        <f>5097-2298+500</f>
        <v>3299</v>
      </c>
      <c r="R23" s="219"/>
      <c r="S23" s="163"/>
      <c r="T23" s="103"/>
      <c r="V23">
        <v>181467</v>
      </c>
      <c r="W23">
        <v>297</v>
      </c>
    </row>
    <row r="24" spans="1:30" x14ac:dyDescent="0.35">
      <c r="A24" s="162">
        <v>14</v>
      </c>
      <c r="B24" s="163" t="s">
        <v>36</v>
      </c>
      <c r="C24" s="224">
        <v>278.5</v>
      </c>
      <c r="D24" s="224">
        <v>0</v>
      </c>
      <c r="E24" s="224">
        <v>0</v>
      </c>
      <c r="F24" s="224">
        <v>0</v>
      </c>
      <c r="G24" s="224">
        <f t="shared" si="2"/>
        <v>278.5</v>
      </c>
      <c r="H24" s="224">
        <v>0</v>
      </c>
      <c r="I24" s="224">
        <f>268.5+10</f>
        <v>278.5</v>
      </c>
      <c r="J24" s="224">
        <v>0</v>
      </c>
      <c r="K24" s="224">
        <f t="shared" si="3"/>
        <v>278.5</v>
      </c>
      <c r="L24" s="241">
        <v>2409092</v>
      </c>
      <c r="M24" s="224">
        <v>8972</v>
      </c>
      <c r="N24" s="224">
        <f>O24*I24</f>
        <v>2666860.2999999998</v>
      </c>
      <c r="O24" s="224">
        <v>9575.7999999999993</v>
      </c>
      <c r="P24" s="163" t="s">
        <v>75</v>
      </c>
      <c r="Q24" s="219">
        <f>1523-889</f>
        <v>634</v>
      </c>
      <c r="R24" s="219"/>
      <c r="S24" s="163"/>
      <c r="T24" s="103"/>
      <c r="V24">
        <v>641942.5</v>
      </c>
      <c r="W24">
        <v>2305</v>
      </c>
    </row>
    <row r="25" spans="1:30" x14ac:dyDescent="0.35">
      <c r="A25" s="162">
        <v>15</v>
      </c>
      <c r="B25" s="163" t="s">
        <v>37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163" t="s">
        <v>74</v>
      </c>
      <c r="Q25" s="163"/>
      <c r="R25" s="163"/>
      <c r="S25" s="163"/>
      <c r="T25" s="103"/>
    </row>
    <row r="26" spans="1:30" x14ac:dyDescent="0.35">
      <c r="A26" s="162">
        <v>16</v>
      </c>
      <c r="B26" s="163" t="s">
        <v>38</v>
      </c>
      <c r="C26" s="163"/>
      <c r="D26" s="163"/>
      <c r="E26" s="163"/>
      <c r="F26" s="163"/>
      <c r="G26" s="180"/>
      <c r="H26" s="180"/>
      <c r="I26" s="180"/>
      <c r="J26" s="180"/>
      <c r="K26" s="180"/>
      <c r="L26" s="163"/>
      <c r="M26" s="163"/>
      <c r="N26" s="163"/>
      <c r="O26" s="163"/>
      <c r="P26" s="163" t="s">
        <v>76</v>
      </c>
      <c r="Q26" s="163"/>
      <c r="R26" s="163"/>
      <c r="S26" s="163"/>
      <c r="T26" s="103"/>
    </row>
    <row r="27" spans="1:30" x14ac:dyDescent="0.35">
      <c r="A27" s="162">
        <v>17</v>
      </c>
      <c r="B27" s="163" t="s">
        <v>39</v>
      </c>
      <c r="C27" s="163"/>
      <c r="D27" s="163"/>
      <c r="E27" s="163"/>
      <c r="F27" s="163"/>
      <c r="G27" s="180"/>
      <c r="H27" s="180"/>
      <c r="I27" s="180"/>
      <c r="J27" s="180"/>
      <c r="K27" s="180"/>
      <c r="L27" s="163"/>
      <c r="M27" s="163"/>
      <c r="N27" s="163"/>
      <c r="O27" s="163"/>
      <c r="P27" s="163" t="s">
        <v>77</v>
      </c>
      <c r="Q27" s="163"/>
      <c r="R27" s="163"/>
      <c r="S27" s="163"/>
      <c r="T27" s="103"/>
    </row>
    <row r="28" spans="1:30" x14ac:dyDescent="0.35">
      <c r="A28" s="162">
        <v>18</v>
      </c>
      <c r="B28" s="163" t="s">
        <v>40</v>
      </c>
      <c r="C28" s="163"/>
      <c r="D28" s="163"/>
      <c r="E28" s="163"/>
      <c r="F28" s="163"/>
      <c r="G28" s="180"/>
      <c r="H28" s="180"/>
      <c r="I28" s="180"/>
      <c r="J28" s="180"/>
      <c r="K28" s="180"/>
      <c r="L28" s="163"/>
      <c r="M28" s="163"/>
      <c r="N28" s="163"/>
      <c r="O28" s="163"/>
      <c r="P28" s="163" t="s">
        <v>78</v>
      </c>
      <c r="Q28" s="163"/>
      <c r="R28" s="163"/>
      <c r="S28" s="163"/>
      <c r="T28" s="103"/>
    </row>
    <row r="29" spans="1:30" x14ac:dyDescent="0.35">
      <c r="A29" s="162">
        <v>19</v>
      </c>
      <c r="B29" s="163" t="s">
        <v>41</v>
      </c>
      <c r="C29" s="163"/>
      <c r="D29" s="163"/>
      <c r="E29" s="163"/>
      <c r="F29" s="163"/>
      <c r="G29" s="180"/>
      <c r="H29" s="180"/>
      <c r="I29" s="180"/>
      <c r="J29" s="180"/>
      <c r="K29" s="180"/>
      <c r="L29" s="163"/>
      <c r="M29" s="163"/>
      <c r="N29" s="163"/>
      <c r="O29" s="163"/>
      <c r="P29" s="163" t="s">
        <v>79</v>
      </c>
      <c r="Q29" s="163"/>
      <c r="R29" s="163"/>
      <c r="S29" s="163"/>
      <c r="T29" s="103"/>
    </row>
    <row r="30" spans="1:30" x14ac:dyDescent="0.35">
      <c r="A30" s="162">
        <v>20</v>
      </c>
      <c r="B30" s="163" t="s">
        <v>42</v>
      </c>
      <c r="C30" s="163"/>
      <c r="D30" s="163"/>
      <c r="E30" s="163"/>
      <c r="F30" s="163"/>
      <c r="G30" s="180"/>
      <c r="H30" s="180"/>
      <c r="I30" s="180"/>
      <c r="J30" s="180"/>
      <c r="K30" s="180"/>
      <c r="L30" s="163"/>
      <c r="M30" s="163"/>
      <c r="N30" s="163"/>
      <c r="O30" s="163"/>
      <c r="P30" s="163" t="s">
        <v>80</v>
      </c>
      <c r="Q30" s="163"/>
      <c r="R30" s="163"/>
      <c r="S30" s="163"/>
      <c r="T30" s="103"/>
      <c r="AC30" t="e">
        <f>CONCATENATE(#REF!,B31)</f>
        <v>#REF!</v>
      </c>
      <c r="AD30" t="str">
        <f t="shared" si="1"/>
        <v/>
      </c>
    </row>
    <row r="31" spans="1:30" x14ac:dyDescent="0.35">
      <c r="A31" s="162">
        <v>21</v>
      </c>
      <c r="B31" s="163" t="s">
        <v>43</v>
      </c>
      <c r="C31" s="163"/>
      <c r="D31" s="163"/>
      <c r="E31" s="163"/>
      <c r="F31" s="163"/>
      <c r="G31" s="180"/>
      <c r="H31" s="180"/>
      <c r="I31" s="180"/>
      <c r="J31" s="180"/>
      <c r="K31" s="180"/>
      <c r="L31" s="163"/>
      <c r="M31" s="163"/>
      <c r="N31" s="163"/>
      <c r="O31" s="163"/>
      <c r="P31" s="163" t="s">
        <v>69</v>
      </c>
      <c r="Q31" s="163"/>
      <c r="R31" s="163"/>
      <c r="S31" s="163"/>
      <c r="T31" s="103"/>
      <c r="AC31" t="e">
        <f>CONCATENATE(#REF!,B32)</f>
        <v>#REF!</v>
      </c>
      <c r="AD31" t="str">
        <f t="shared" si="1"/>
        <v/>
      </c>
    </row>
    <row r="32" spans="1:30" x14ac:dyDescent="0.35">
      <c r="A32" s="162">
        <v>22</v>
      </c>
      <c r="B32" s="163" t="s">
        <v>44</v>
      </c>
      <c r="C32" s="163"/>
      <c r="D32" s="163"/>
      <c r="E32" s="163"/>
      <c r="F32" s="163"/>
      <c r="G32" s="180"/>
      <c r="H32" s="180"/>
      <c r="I32" s="180"/>
      <c r="J32" s="180"/>
      <c r="K32" s="180"/>
      <c r="L32" s="163"/>
      <c r="M32" s="163"/>
      <c r="N32" s="163"/>
      <c r="O32" s="163"/>
      <c r="P32" s="163" t="s">
        <v>81</v>
      </c>
      <c r="Q32" s="163"/>
      <c r="R32" s="163"/>
      <c r="S32" s="163"/>
      <c r="T32" s="103"/>
      <c r="AC32" t="e">
        <f>CONCATENATE(#REF!,B33)</f>
        <v>#REF!</v>
      </c>
      <c r="AD32" t="str">
        <f t="shared" si="1"/>
        <v/>
      </c>
    </row>
    <row r="33" spans="1:30" x14ac:dyDescent="0.35">
      <c r="A33" s="162">
        <v>23</v>
      </c>
      <c r="B33" s="163" t="s">
        <v>45</v>
      </c>
      <c r="C33" s="163"/>
      <c r="D33" s="163"/>
      <c r="E33" s="163"/>
      <c r="F33" s="163"/>
      <c r="G33" s="180"/>
      <c r="H33" s="180"/>
      <c r="I33" s="180"/>
      <c r="J33" s="180"/>
      <c r="K33" s="180"/>
      <c r="L33" s="163"/>
      <c r="M33" s="163"/>
      <c r="N33" s="163"/>
      <c r="O33" s="163"/>
      <c r="P33" s="163" t="s">
        <v>81</v>
      </c>
      <c r="Q33" s="163"/>
      <c r="R33" s="163"/>
      <c r="S33" s="163"/>
      <c r="T33" s="103"/>
      <c r="AC33" t="e">
        <f>CONCATENATE(#REF!,B34)</f>
        <v>#REF!</v>
      </c>
      <c r="AD33" t="str">
        <f t="shared" si="1"/>
        <v/>
      </c>
    </row>
    <row r="34" spans="1:30" x14ac:dyDescent="0.35">
      <c r="A34" s="162">
        <v>24</v>
      </c>
      <c r="B34" s="163" t="s">
        <v>46</v>
      </c>
      <c r="C34" s="163"/>
      <c r="D34" s="163"/>
      <c r="E34" s="163"/>
      <c r="F34" s="163"/>
      <c r="G34" s="180"/>
      <c r="H34" s="180"/>
      <c r="I34" s="180"/>
      <c r="J34" s="180"/>
      <c r="K34" s="180"/>
      <c r="L34" s="163"/>
      <c r="M34" s="163"/>
      <c r="N34" s="163"/>
      <c r="O34" s="163"/>
      <c r="P34" s="163" t="s">
        <v>72</v>
      </c>
      <c r="Q34" s="163"/>
      <c r="R34" s="163"/>
      <c r="S34" s="163"/>
      <c r="T34" s="103"/>
      <c r="AC34" t="e">
        <f>CONCATENATE(#REF!,B35)</f>
        <v>#REF!</v>
      </c>
      <c r="AD34" t="str">
        <f t="shared" si="1"/>
        <v/>
      </c>
    </row>
    <row r="35" spans="1:30" x14ac:dyDescent="0.35">
      <c r="A35" s="162">
        <v>25</v>
      </c>
      <c r="B35" s="163" t="s">
        <v>47</v>
      </c>
      <c r="C35" s="163"/>
      <c r="D35" s="163"/>
      <c r="E35" s="163"/>
      <c r="F35" s="163"/>
      <c r="G35" s="180"/>
      <c r="H35" s="180"/>
      <c r="I35" s="180"/>
      <c r="J35" s="180"/>
      <c r="K35" s="180"/>
      <c r="L35" s="163"/>
      <c r="M35" s="163"/>
      <c r="N35" s="163"/>
      <c r="O35" s="163"/>
      <c r="P35" s="163" t="s">
        <v>75</v>
      </c>
      <c r="Q35" s="163"/>
      <c r="R35" s="163"/>
      <c r="S35" s="163"/>
      <c r="T35" s="103"/>
      <c r="AC35" t="e">
        <f>CONCATENATE(#REF!,B36)</f>
        <v>#REF!</v>
      </c>
      <c r="AD35" t="str">
        <f t="shared" si="1"/>
        <v/>
      </c>
    </row>
    <row r="36" spans="1:30" x14ac:dyDescent="0.35">
      <c r="A36" s="162">
        <v>26</v>
      </c>
      <c r="B36" s="163" t="s">
        <v>48</v>
      </c>
      <c r="C36" s="163"/>
      <c r="D36" s="163"/>
      <c r="E36" s="163"/>
      <c r="F36" s="163"/>
      <c r="G36" s="180"/>
      <c r="H36" s="180"/>
      <c r="I36" s="180"/>
      <c r="J36" s="180"/>
      <c r="K36" s="180"/>
      <c r="L36" s="163"/>
      <c r="M36" s="163"/>
      <c r="N36" s="163"/>
      <c r="O36" s="163"/>
      <c r="P36" s="163" t="s">
        <v>72</v>
      </c>
      <c r="Q36" s="163"/>
      <c r="R36" s="163"/>
      <c r="S36" s="163"/>
      <c r="T36" s="103"/>
      <c r="AC36" t="e">
        <f>CONCATENATE(#REF!,B37)</f>
        <v>#REF!</v>
      </c>
      <c r="AD36" t="str">
        <f t="shared" si="1"/>
        <v/>
      </c>
    </row>
    <row r="37" spans="1:30" x14ac:dyDescent="0.35">
      <c r="A37" s="162">
        <v>27</v>
      </c>
      <c r="B37" s="163" t="s">
        <v>49</v>
      </c>
      <c r="C37" s="163"/>
      <c r="D37" s="163"/>
      <c r="E37" s="163"/>
      <c r="F37" s="163"/>
      <c r="G37" s="180"/>
      <c r="H37" s="180"/>
      <c r="I37" s="180"/>
      <c r="J37" s="180"/>
      <c r="K37" s="180"/>
      <c r="L37" s="163"/>
      <c r="M37" s="163"/>
      <c r="N37" s="163"/>
      <c r="O37" s="163"/>
      <c r="P37" s="163" t="s">
        <v>84</v>
      </c>
      <c r="Q37" s="163"/>
      <c r="R37" s="163"/>
      <c r="S37" s="163"/>
      <c r="T37" s="103"/>
      <c r="AC37" t="e">
        <f>CONCATENATE(#REF!,B38)</f>
        <v>#REF!</v>
      </c>
      <c r="AD37" t="str">
        <f t="shared" si="1"/>
        <v/>
      </c>
    </row>
    <row r="38" spans="1:30" x14ac:dyDescent="0.35">
      <c r="A38" s="162">
        <v>28</v>
      </c>
      <c r="B38" s="163" t="s">
        <v>50</v>
      </c>
      <c r="C38" s="163"/>
      <c r="D38" s="163"/>
      <c r="E38" s="163"/>
      <c r="F38" s="163"/>
      <c r="G38" s="180"/>
      <c r="H38" s="180"/>
      <c r="I38" s="180"/>
      <c r="J38" s="180"/>
      <c r="K38" s="180"/>
      <c r="L38" s="163"/>
      <c r="M38" s="163"/>
      <c r="N38" s="163"/>
      <c r="O38" s="163"/>
      <c r="P38" s="163" t="s">
        <v>77</v>
      </c>
      <c r="Q38" s="163"/>
      <c r="R38" s="163"/>
      <c r="S38" s="163"/>
      <c r="T38" s="103"/>
      <c r="AC38" t="e">
        <f>CONCATENATE(#REF!,#REF!)</f>
        <v>#REF!</v>
      </c>
    </row>
    <row r="39" spans="1:30" x14ac:dyDescent="0.35">
      <c r="A39" s="162">
        <v>29</v>
      </c>
      <c r="B39" s="163" t="s">
        <v>51</v>
      </c>
      <c r="C39" s="163"/>
      <c r="D39" s="163"/>
      <c r="E39" s="163"/>
      <c r="F39" s="163"/>
      <c r="G39" s="180"/>
      <c r="H39" s="180"/>
      <c r="I39" s="180"/>
      <c r="J39" s="180"/>
      <c r="K39" s="180"/>
      <c r="L39" s="163"/>
      <c r="M39" s="163"/>
      <c r="N39" s="163"/>
      <c r="O39" s="163"/>
      <c r="P39" s="163" t="s">
        <v>82</v>
      </c>
      <c r="Q39" s="163"/>
      <c r="R39" s="163"/>
      <c r="S39" s="163"/>
      <c r="T39" s="103"/>
      <c r="AC39" t="e">
        <f>CONCATENATE(#REF!,B40)</f>
        <v>#REF!</v>
      </c>
      <c r="AD39" t="str">
        <f>IF(L40="","",L40/M40)</f>
        <v/>
      </c>
    </row>
    <row r="40" spans="1:30" x14ac:dyDescent="0.35">
      <c r="A40" s="162">
        <v>30</v>
      </c>
      <c r="B40" s="163" t="s">
        <v>52</v>
      </c>
      <c r="C40" s="163"/>
      <c r="D40" s="163"/>
      <c r="E40" s="163"/>
      <c r="F40" s="163"/>
      <c r="G40" s="180"/>
      <c r="H40" s="180"/>
      <c r="I40" s="180"/>
      <c r="J40" s="180"/>
      <c r="K40" s="180"/>
      <c r="L40" s="163"/>
      <c r="M40" s="163"/>
      <c r="N40" s="163"/>
      <c r="O40" s="163"/>
      <c r="P40" s="163" t="s">
        <v>83</v>
      </c>
      <c r="Q40" s="163"/>
      <c r="R40" s="163"/>
      <c r="S40" s="163"/>
      <c r="T40" s="103"/>
    </row>
    <row r="41" spans="1:30" x14ac:dyDescent="0.35">
      <c r="A41" s="151"/>
      <c r="B41" s="151"/>
      <c r="C41" s="151"/>
      <c r="D41" s="151"/>
      <c r="E41" s="151"/>
      <c r="F41" s="151"/>
      <c r="G41" s="152"/>
      <c r="H41" s="152"/>
      <c r="I41" s="152"/>
      <c r="J41" s="152"/>
      <c r="K41" s="152"/>
      <c r="L41" s="151"/>
      <c r="M41" s="151"/>
      <c r="N41" s="151"/>
      <c r="O41" s="151"/>
      <c r="P41" s="151"/>
      <c r="Q41" s="151"/>
      <c r="R41" s="151"/>
      <c r="S41" s="151"/>
    </row>
    <row r="42" spans="1:30" x14ac:dyDescent="0.35">
      <c r="A42" s="151"/>
      <c r="B42" s="151"/>
      <c r="C42" s="151"/>
      <c r="D42" s="151"/>
      <c r="E42" s="151"/>
      <c r="F42" s="151"/>
      <c r="G42" s="152"/>
      <c r="H42" s="152"/>
      <c r="I42" s="152"/>
      <c r="J42" s="152"/>
      <c r="K42" s="152"/>
      <c r="L42" s="151"/>
      <c r="M42" s="151"/>
      <c r="N42" s="151"/>
      <c r="O42" s="151"/>
      <c r="P42" s="286" t="s">
        <v>110</v>
      </c>
      <c r="Q42" s="286"/>
      <c r="R42" s="286"/>
      <c r="S42" s="151"/>
    </row>
    <row r="43" spans="1:30" ht="12.75" customHeight="1" x14ac:dyDescent="0.35">
      <c r="A43" s="151"/>
      <c r="B43" s="151"/>
      <c r="C43" s="151"/>
      <c r="D43" s="151"/>
      <c r="E43" s="151"/>
      <c r="F43" s="151"/>
      <c r="G43" s="152"/>
      <c r="H43" s="152"/>
      <c r="I43" s="152"/>
      <c r="J43" s="152"/>
      <c r="K43" s="152"/>
      <c r="L43" s="151"/>
      <c r="M43" s="151"/>
      <c r="N43" s="151"/>
      <c r="O43" s="151"/>
      <c r="P43" s="190"/>
      <c r="Q43" s="190"/>
      <c r="R43" s="190"/>
      <c r="S43" s="151"/>
    </row>
    <row r="44" spans="1:30" ht="12.75" customHeight="1" x14ac:dyDescent="0.35">
      <c r="A44" s="151"/>
      <c r="B44" s="151"/>
      <c r="C44" s="151"/>
      <c r="D44" s="151"/>
      <c r="E44" s="151"/>
      <c r="F44" s="151"/>
      <c r="G44" s="152"/>
      <c r="H44" s="152"/>
      <c r="I44" s="152"/>
      <c r="J44" s="152"/>
      <c r="K44" s="152"/>
      <c r="L44" s="151"/>
      <c r="M44" s="151"/>
      <c r="N44" s="151"/>
      <c r="O44" s="151"/>
      <c r="P44" s="190"/>
      <c r="Q44" s="190"/>
      <c r="R44" s="190"/>
      <c r="S44" s="151"/>
    </row>
    <row r="45" spans="1:30" ht="17.25" customHeight="1" x14ac:dyDescent="0.35">
      <c r="A45" s="151"/>
      <c r="B45" s="151"/>
      <c r="C45" s="151"/>
      <c r="D45" s="151"/>
      <c r="E45" s="151"/>
      <c r="F45" s="151"/>
      <c r="G45" s="152"/>
      <c r="H45" s="152"/>
      <c r="I45" s="152"/>
      <c r="J45" s="152"/>
      <c r="K45" s="152"/>
      <c r="L45" s="151"/>
      <c r="M45" s="151"/>
      <c r="N45" s="151"/>
      <c r="O45" s="151"/>
      <c r="P45" s="293" t="s">
        <v>146</v>
      </c>
      <c r="Q45" s="293"/>
      <c r="R45" s="293"/>
      <c r="S45" s="151"/>
    </row>
  </sheetData>
  <mergeCells count="13">
    <mergeCell ref="P42:R42"/>
    <mergeCell ref="P45:R45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5" right="0.7" top="0.25" bottom="0.25" header="0.3" footer="0.3"/>
  <pageSetup paperSize="5" scale="75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AC46"/>
  <sheetViews>
    <sheetView topLeftCell="C6" zoomScale="90" zoomScaleNormal="90" workbookViewId="0">
      <selection activeCell="O25" sqref="O25"/>
    </sheetView>
  </sheetViews>
  <sheetFormatPr defaultColWidth="9.1796875" defaultRowHeight="12" x14ac:dyDescent="0.3"/>
  <cols>
    <col min="1" max="1" width="5.54296875" style="76" customWidth="1"/>
    <col min="2" max="2" width="23.1796875" style="76" customWidth="1"/>
    <col min="3" max="3" width="11" style="76" customWidth="1"/>
    <col min="4" max="4" width="8.26953125" style="76" customWidth="1"/>
    <col min="5" max="5" width="8.453125" style="76" customWidth="1"/>
    <col min="6" max="6" width="10.54296875" style="81" customWidth="1"/>
    <col min="7" max="7" width="10" style="81" customWidth="1"/>
    <col min="8" max="8" width="9.1796875" style="81" customWidth="1"/>
    <col min="9" max="9" width="9" style="81" customWidth="1"/>
    <col min="10" max="11" width="9.26953125" style="81" customWidth="1"/>
    <col min="12" max="12" width="14.453125" style="76" customWidth="1"/>
    <col min="13" max="13" width="11.26953125" style="76" customWidth="1"/>
    <col min="14" max="14" width="14.453125" style="76" customWidth="1"/>
    <col min="15" max="15" width="12.453125" style="76" customWidth="1"/>
    <col min="16" max="16" width="18.26953125" style="76" customWidth="1"/>
    <col min="17" max="17" width="11.453125" style="76" customWidth="1"/>
    <col min="18" max="18" width="7.453125" style="76" customWidth="1"/>
    <col min="19" max="19" width="5.453125" style="76" customWidth="1"/>
    <col min="20" max="27" width="9.1796875" style="76"/>
    <col min="28" max="29" width="9.1796875" style="76" hidden="1" customWidth="1"/>
    <col min="30" max="16384" width="9.1796875" style="76"/>
  </cols>
  <sheetData>
    <row r="1" spans="1:29" x14ac:dyDescent="0.3">
      <c r="A1" s="75" t="s">
        <v>57</v>
      </c>
      <c r="F1" s="77"/>
      <c r="G1" s="77"/>
      <c r="H1" s="77"/>
      <c r="I1" s="77"/>
      <c r="J1" s="77"/>
      <c r="K1" s="77"/>
    </row>
    <row r="2" spans="1:29" x14ac:dyDescent="0.3">
      <c r="A2" s="78"/>
      <c r="F2" s="77"/>
      <c r="G2" s="77"/>
      <c r="H2" s="77"/>
      <c r="I2" s="77"/>
      <c r="J2" s="77"/>
      <c r="K2" s="77"/>
    </row>
    <row r="3" spans="1:29" ht="30" customHeight="1" x14ac:dyDescent="0.3">
      <c r="A3" s="309" t="s">
        <v>58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</row>
    <row r="4" spans="1:29" ht="14" x14ac:dyDescent="0.3">
      <c r="A4" s="153"/>
      <c r="B4" s="151"/>
      <c r="C4" s="151"/>
      <c r="D4" s="151"/>
      <c r="E4" s="151"/>
      <c r="F4" s="154"/>
      <c r="G4" s="154"/>
      <c r="H4" s="154"/>
      <c r="I4" s="154"/>
      <c r="J4" s="154"/>
      <c r="K4" s="154"/>
      <c r="L4" s="151"/>
      <c r="M4" s="151"/>
      <c r="N4" s="151"/>
      <c r="O4" s="151"/>
      <c r="P4" s="151"/>
      <c r="Q4" s="151"/>
      <c r="R4" s="242"/>
      <c r="S4" s="243"/>
    </row>
    <row r="5" spans="1:29" ht="14" x14ac:dyDescent="0.3">
      <c r="A5" s="153" t="s">
        <v>175</v>
      </c>
      <c r="B5" s="151"/>
      <c r="C5" s="151" t="s">
        <v>193</v>
      </c>
      <c r="D5" s="151"/>
      <c r="E5" s="151"/>
      <c r="F5" s="154"/>
      <c r="G5" s="154"/>
      <c r="H5" s="154"/>
      <c r="I5" s="154"/>
      <c r="J5" s="154"/>
      <c r="K5" s="154"/>
      <c r="L5" s="151"/>
      <c r="M5" s="151"/>
      <c r="N5" s="173"/>
      <c r="O5" s="151"/>
      <c r="P5" s="151"/>
      <c r="Q5" s="151" t="s">
        <v>181</v>
      </c>
      <c r="R5" s="153" t="s">
        <v>182</v>
      </c>
      <c r="S5" s="151"/>
    </row>
    <row r="6" spans="1:29" ht="14" x14ac:dyDescent="0.3">
      <c r="A6" s="153" t="s">
        <v>176</v>
      </c>
      <c r="B6" s="151"/>
      <c r="C6" s="151" t="s">
        <v>172</v>
      </c>
      <c r="D6" s="151"/>
      <c r="E6" s="151"/>
      <c r="F6" s="154"/>
      <c r="G6" s="154"/>
      <c r="H6" s="154"/>
      <c r="I6" s="154"/>
      <c r="J6" s="154"/>
      <c r="K6" s="154"/>
      <c r="L6" s="151"/>
      <c r="M6" s="151"/>
      <c r="N6" s="213"/>
      <c r="O6" s="151"/>
      <c r="P6" s="151"/>
      <c r="Q6" s="151" t="s">
        <v>180</v>
      </c>
      <c r="R6" s="153" t="s">
        <v>203</v>
      </c>
      <c r="S6" s="151"/>
    </row>
    <row r="7" spans="1:29" ht="14" x14ac:dyDescent="0.3">
      <c r="A7" s="153" t="s">
        <v>192</v>
      </c>
      <c r="B7" s="151"/>
      <c r="C7" s="151" t="s">
        <v>174</v>
      </c>
      <c r="D7" s="151"/>
      <c r="E7" s="151"/>
      <c r="F7" s="154"/>
      <c r="G7" s="154"/>
      <c r="H7" s="154"/>
      <c r="I7" s="154"/>
      <c r="J7" s="154"/>
      <c r="K7" s="154"/>
      <c r="L7" s="151"/>
      <c r="M7" s="151"/>
      <c r="N7" s="151"/>
      <c r="O7" s="151"/>
      <c r="P7" s="151"/>
      <c r="Q7" s="151"/>
      <c r="R7" s="151"/>
      <c r="S7" s="151"/>
    </row>
    <row r="8" spans="1:29" s="80" customFormat="1" ht="14" x14ac:dyDescent="0.35">
      <c r="A8" s="283" t="s">
        <v>3</v>
      </c>
      <c r="B8" s="283" t="s">
        <v>4</v>
      </c>
      <c r="C8" s="283" t="s">
        <v>23</v>
      </c>
      <c r="D8" s="283" t="s">
        <v>6</v>
      </c>
      <c r="E8" s="283"/>
      <c r="F8" s="283"/>
      <c r="G8" s="283"/>
      <c r="H8" s="283"/>
      <c r="I8" s="283"/>
      <c r="J8" s="283"/>
      <c r="K8" s="283"/>
      <c r="L8" s="283" t="s">
        <v>22</v>
      </c>
      <c r="M8" s="283"/>
      <c r="N8" s="283"/>
      <c r="O8" s="283"/>
      <c r="P8" s="155"/>
      <c r="Q8" s="156"/>
      <c r="R8" s="157"/>
      <c r="S8" s="155"/>
      <c r="AB8" s="80" t="s">
        <v>54</v>
      </c>
      <c r="AC8" s="80" t="s">
        <v>54</v>
      </c>
    </row>
    <row r="9" spans="1:29" s="80" customFormat="1" ht="24" x14ac:dyDescent="0.35">
      <c r="A9" s="283"/>
      <c r="B9" s="283"/>
      <c r="C9" s="283"/>
      <c r="D9" s="284" t="s">
        <v>7</v>
      </c>
      <c r="E9" s="284"/>
      <c r="F9" s="284"/>
      <c r="G9" s="284"/>
      <c r="H9" s="294" t="s">
        <v>12</v>
      </c>
      <c r="I9" s="294"/>
      <c r="J9" s="294"/>
      <c r="K9" s="294"/>
      <c r="L9" s="284" t="s">
        <v>13</v>
      </c>
      <c r="M9" s="284"/>
      <c r="N9" s="284" t="s">
        <v>15</v>
      </c>
      <c r="O9" s="284"/>
      <c r="P9" s="158"/>
      <c r="Q9" s="281" t="s">
        <v>17</v>
      </c>
      <c r="R9" s="282"/>
      <c r="S9" s="158" t="s">
        <v>167</v>
      </c>
      <c r="V9" s="80" t="s">
        <v>15</v>
      </c>
      <c r="AB9" s="80" t="s">
        <v>56</v>
      </c>
      <c r="AC9" s="80" t="s">
        <v>56</v>
      </c>
    </row>
    <row r="10" spans="1:29" s="80" customFormat="1" ht="53.25" customHeight="1" x14ac:dyDescent="0.35">
      <c r="A10" s="283"/>
      <c r="B10" s="283"/>
      <c r="C10" s="283"/>
      <c r="D10" s="159" t="s">
        <v>8</v>
      </c>
      <c r="E10" s="159" t="s">
        <v>9</v>
      </c>
      <c r="F10" s="160" t="s">
        <v>10</v>
      </c>
      <c r="G10" s="160" t="s">
        <v>11</v>
      </c>
      <c r="H10" s="160" t="s">
        <v>0</v>
      </c>
      <c r="I10" s="160" t="s">
        <v>1</v>
      </c>
      <c r="J10" s="160" t="s">
        <v>2</v>
      </c>
      <c r="K10" s="160" t="s">
        <v>11</v>
      </c>
      <c r="L10" s="159" t="s">
        <v>14</v>
      </c>
      <c r="M10" s="159" t="s">
        <v>21</v>
      </c>
      <c r="N10" s="159" t="s">
        <v>14</v>
      </c>
      <c r="O10" s="159" t="s">
        <v>21</v>
      </c>
      <c r="P10" s="161" t="s">
        <v>16</v>
      </c>
      <c r="Q10" s="159" t="s">
        <v>19</v>
      </c>
      <c r="R10" s="159" t="s">
        <v>20</v>
      </c>
      <c r="S10" s="161"/>
      <c r="V10" s="80" t="s">
        <v>14</v>
      </c>
      <c r="W10" s="80" t="s">
        <v>21</v>
      </c>
      <c r="AB10" s="80" t="s">
        <v>55</v>
      </c>
      <c r="AC10" s="80" t="s">
        <v>55</v>
      </c>
    </row>
    <row r="11" spans="1:29" ht="14" x14ac:dyDescent="0.3">
      <c r="A11" s="179">
        <v>1</v>
      </c>
      <c r="B11" s="176" t="s">
        <v>5</v>
      </c>
      <c r="C11" s="176"/>
      <c r="D11" s="176"/>
      <c r="E11" s="176"/>
      <c r="F11" s="201"/>
      <c r="G11" s="201"/>
      <c r="H11" s="201"/>
      <c r="I11" s="201"/>
      <c r="J11" s="201"/>
      <c r="K11" s="201"/>
      <c r="L11" s="176"/>
      <c r="M11" s="176"/>
      <c r="N11" s="176"/>
      <c r="O11" s="176"/>
      <c r="P11" s="176" t="s">
        <v>67</v>
      </c>
      <c r="Q11" s="176"/>
      <c r="R11" s="176"/>
      <c r="S11" s="176"/>
      <c r="AB11" s="76" t="e">
        <f>CONCATENATE(#REF!,B11)</f>
        <v>#REF!</v>
      </c>
      <c r="AC11" s="76" t="str">
        <f>IF(L11="","",L11/M11)</f>
        <v/>
      </c>
    </row>
    <row r="12" spans="1:29" ht="14" x14ac:dyDescent="0.3">
      <c r="A12" s="179">
        <v>2</v>
      </c>
      <c r="B12" s="176" t="s">
        <v>25</v>
      </c>
      <c r="C12" s="176"/>
      <c r="D12" s="176"/>
      <c r="E12" s="176"/>
      <c r="F12" s="201"/>
      <c r="G12" s="201"/>
      <c r="H12" s="201"/>
      <c r="I12" s="201"/>
      <c r="J12" s="201"/>
      <c r="K12" s="201"/>
      <c r="L12" s="176"/>
      <c r="M12" s="176"/>
      <c r="N12" s="176"/>
      <c r="O12" s="176"/>
      <c r="P12" s="176" t="s">
        <v>68</v>
      </c>
      <c r="Q12" s="176"/>
      <c r="R12" s="176"/>
      <c r="S12" s="176"/>
      <c r="AB12" s="76" t="e">
        <f>CONCATENATE(#REF!,B12)</f>
        <v>#REF!</v>
      </c>
      <c r="AC12" s="76" t="str">
        <f t="shared" ref="AC12:AC20" si="0">IF(L12="","",L12/M12)</f>
        <v/>
      </c>
    </row>
    <row r="13" spans="1:29" ht="14" x14ac:dyDescent="0.3">
      <c r="A13" s="179">
        <v>3</v>
      </c>
      <c r="B13" s="176" t="s">
        <v>26</v>
      </c>
      <c r="C13" s="176"/>
      <c r="D13" s="176"/>
      <c r="E13" s="176"/>
      <c r="F13" s="201"/>
      <c r="G13" s="201"/>
      <c r="H13" s="201"/>
      <c r="I13" s="201"/>
      <c r="J13" s="201"/>
      <c r="K13" s="201"/>
      <c r="L13" s="176"/>
      <c r="M13" s="176"/>
      <c r="N13" s="176"/>
      <c r="O13" s="176"/>
      <c r="P13" s="176" t="s">
        <v>68</v>
      </c>
      <c r="Q13" s="176"/>
      <c r="R13" s="176"/>
      <c r="S13" s="176"/>
      <c r="AB13" s="76" t="e">
        <f>CONCATENATE(#REF!,B13)</f>
        <v>#REF!</v>
      </c>
      <c r="AC13" s="76" t="str">
        <f t="shared" si="0"/>
        <v/>
      </c>
    </row>
    <row r="14" spans="1:29" ht="14" x14ac:dyDescent="0.3">
      <c r="A14" s="179">
        <v>4</v>
      </c>
      <c r="B14" s="176" t="s">
        <v>27</v>
      </c>
      <c r="C14" s="176"/>
      <c r="D14" s="176"/>
      <c r="E14" s="176"/>
      <c r="F14" s="201"/>
      <c r="G14" s="201"/>
      <c r="H14" s="201"/>
      <c r="I14" s="201"/>
      <c r="J14" s="201"/>
      <c r="K14" s="201"/>
      <c r="L14" s="176"/>
      <c r="M14" s="176"/>
      <c r="N14" s="176"/>
      <c r="O14" s="176"/>
      <c r="P14" s="176" t="s">
        <v>69</v>
      </c>
      <c r="Q14" s="176"/>
      <c r="R14" s="176"/>
      <c r="S14" s="176"/>
      <c r="AB14" s="76" t="e">
        <f>CONCATENATE(#REF!,B14)</f>
        <v>#REF!</v>
      </c>
      <c r="AC14" s="76" t="str">
        <f t="shared" si="0"/>
        <v/>
      </c>
    </row>
    <row r="15" spans="1:29" ht="14" x14ac:dyDescent="0.3">
      <c r="A15" s="179">
        <v>5</v>
      </c>
      <c r="B15" s="176" t="s">
        <v>28</v>
      </c>
      <c r="C15" s="246">
        <v>21</v>
      </c>
      <c r="D15" s="246">
        <v>0</v>
      </c>
      <c r="E15" s="246">
        <v>1</v>
      </c>
      <c r="F15" s="246">
        <v>1</v>
      </c>
      <c r="G15" s="246">
        <f>C15+E15-F15</f>
        <v>21</v>
      </c>
      <c r="H15" s="246">
        <f>19-1.8</f>
        <v>17.2</v>
      </c>
      <c r="I15" s="246">
        <f>2+1.8</f>
        <v>3.8</v>
      </c>
      <c r="J15" s="246">
        <v>0</v>
      </c>
      <c r="K15" s="246">
        <f>SUM(H15:J15)</f>
        <v>21</v>
      </c>
      <c r="L15" s="246">
        <v>1556</v>
      </c>
      <c r="M15" s="246">
        <v>778</v>
      </c>
      <c r="N15" s="246">
        <f>O15*I15</f>
        <v>1242.4099999999999</v>
      </c>
      <c r="O15" s="246">
        <v>326.95</v>
      </c>
      <c r="P15" s="176" t="s">
        <v>70</v>
      </c>
      <c r="Q15" s="235">
        <f>203+542</f>
        <v>745</v>
      </c>
      <c r="R15" s="176"/>
      <c r="S15" s="176"/>
      <c r="U15" s="79"/>
      <c r="V15" s="76">
        <v>0</v>
      </c>
      <c r="W15" s="76">
        <v>0</v>
      </c>
      <c r="AB15" s="76" t="e">
        <f>CONCATENATE(#REF!,B15)</f>
        <v>#REF!</v>
      </c>
      <c r="AC15" s="76">
        <f t="shared" si="0"/>
        <v>2</v>
      </c>
    </row>
    <row r="16" spans="1:29" ht="14" x14ac:dyDescent="0.3">
      <c r="A16" s="179">
        <v>6</v>
      </c>
      <c r="B16" s="176" t="s">
        <v>29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176" t="s">
        <v>70</v>
      </c>
      <c r="Q16" s="235"/>
      <c r="R16" s="176"/>
      <c r="S16" s="176"/>
      <c r="AB16" s="76" t="e">
        <f>CONCATENATE(#REF!,B16)</f>
        <v>#REF!</v>
      </c>
      <c r="AC16" s="76" t="str">
        <f t="shared" si="0"/>
        <v/>
      </c>
    </row>
    <row r="17" spans="1:29" ht="14" x14ac:dyDescent="0.3">
      <c r="A17" s="179">
        <v>7</v>
      </c>
      <c r="B17" s="176" t="s">
        <v>30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176" t="s">
        <v>71</v>
      </c>
      <c r="Q17" s="235"/>
      <c r="R17" s="176"/>
      <c r="S17" s="176"/>
      <c r="AB17" s="76" t="e">
        <f>CONCATENATE(#REF!,B17)</f>
        <v>#REF!</v>
      </c>
      <c r="AC17" s="76" t="str">
        <f t="shared" si="0"/>
        <v/>
      </c>
    </row>
    <row r="18" spans="1:29" ht="14" x14ac:dyDescent="0.3">
      <c r="A18" s="179">
        <v>8</v>
      </c>
      <c r="B18" s="176" t="s">
        <v>31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176" t="s">
        <v>72</v>
      </c>
      <c r="Q18" s="235"/>
      <c r="R18" s="176"/>
      <c r="S18" s="176"/>
      <c r="AB18" s="76" t="e">
        <f>CONCATENATE(#REF!,B18)</f>
        <v>#REF!</v>
      </c>
      <c r="AC18" s="76" t="str">
        <f t="shared" si="0"/>
        <v/>
      </c>
    </row>
    <row r="19" spans="1:29" ht="14" x14ac:dyDescent="0.3">
      <c r="A19" s="179">
        <v>9</v>
      </c>
      <c r="B19" s="176" t="s">
        <v>32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176" t="s">
        <v>72</v>
      </c>
      <c r="Q19" s="235"/>
      <c r="R19" s="176"/>
      <c r="S19" s="176"/>
      <c r="AB19" s="76" t="e">
        <f>CONCATENATE(#REF!,B19)</f>
        <v>#REF!</v>
      </c>
      <c r="AC19" s="76" t="str">
        <f t="shared" si="0"/>
        <v/>
      </c>
    </row>
    <row r="20" spans="1:29" ht="14" x14ac:dyDescent="0.3">
      <c r="A20" s="179">
        <v>10</v>
      </c>
      <c r="B20" s="176" t="s">
        <v>33</v>
      </c>
      <c r="C20" s="246">
        <v>3</v>
      </c>
      <c r="D20" s="246">
        <v>0</v>
      </c>
      <c r="E20" s="246">
        <f>0</f>
        <v>0</v>
      </c>
      <c r="F20" s="246">
        <v>0</v>
      </c>
      <c r="G20" s="246">
        <f>C20+E20-F20</f>
        <v>3</v>
      </c>
      <c r="H20" s="246">
        <f>1</f>
        <v>1</v>
      </c>
      <c r="I20" s="246">
        <f>2-1</f>
        <v>1</v>
      </c>
      <c r="J20" s="246">
        <v>1</v>
      </c>
      <c r="K20" s="246">
        <f>SUM(H20:J20)</f>
        <v>3</v>
      </c>
      <c r="L20" s="246">
        <v>1055.58</v>
      </c>
      <c r="M20" s="246">
        <v>1055.08</v>
      </c>
      <c r="N20" s="246">
        <f>O20*I20</f>
        <v>758.09</v>
      </c>
      <c r="O20" s="246">
        <v>758.09</v>
      </c>
      <c r="P20" s="176" t="s">
        <v>72</v>
      </c>
      <c r="Q20" s="235">
        <f>249-202</f>
        <v>47</v>
      </c>
      <c r="R20" s="176"/>
      <c r="S20" s="176"/>
      <c r="V20" s="79">
        <v>192</v>
      </c>
      <c r="W20" s="76">
        <v>192</v>
      </c>
      <c r="AB20" s="76" t="e">
        <f>CONCATENATE(#REF!,B20)</f>
        <v>#REF!</v>
      </c>
      <c r="AC20" s="76">
        <f t="shared" si="0"/>
        <v>1.0004738977139174</v>
      </c>
    </row>
    <row r="21" spans="1:29" ht="14" x14ac:dyDescent="0.3">
      <c r="A21" s="179">
        <v>11</v>
      </c>
      <c r="B21" s="200" t="s">
        <v>96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176"/>
      <c r="Q21" s="176"/>
      <c r="R21" s="176"/>
      <c r="S21" s="176"/>
      <c r="AB21" s="76" t="e">
        <f>CONCATENATE(#REF!,B22)</f>
        <v>#REF!</v>
      </c>
      <c r="AC21" s="76">
        <f t="shared" ref="AC21:AC37" si="1">IF(L22="","",L22/M22)</f>
        <v>209.93124456048739</v>
      </c>
    </row>
    <row r="22" spans="1:29" ht="14" x14ac:dyDescent="0.3">
      <c r="A22" s="179">
        <v>12</v>
      </c>
      <c r="B22" s="176" t="s">
        <v>34</v>
      </c>
      <c r="C22" s="246">
        <f>559-120</f>
        <v>439</v>
      </c>
      <c r="D22" s="246">
        <v>0</v>
      </c>
      <c r="E22" s="246">
        <v>0</v>
      </c>
      <c r="F22" s="246">
        <v>0</v>
      </c>
      <c r="G22" s="246">
        <f t="shared" ref="G22:G23" si="2">C22+E22-F22</f>
        <v>439</v>
      </c>
      <c r="H22" s="246">
        <f>149-20</f>
        <v>129</v>
      </c>
      <c r="I22" s="246">
        <f>210+20</f>
        <v>230</v>
      </c>
      <c r="J22" s="246">
        <f>0+80</f>
        <v>80</v>
      </c>
      <c r="K22" s="246">
        <f t="shared" ref="K22:K24" si="3">SUM(H22:J22)</f>
        <v>439</v>
      </c>
      <c r="L22" s="246">
        <v>241211</v>
      </c>
      <c r="M22" s="246">
        <v>1149</v>
      </c>
      <c r="N22" s="246">
        <f>O22*I22</f>
        <v>278723.19999999995</v>
      </c>
      <c r="O22" s="246">
        <v>1211.8399999999999</v>
      </c>
      <c r="P22" s="176" t="s">
        <v>73</v>
      </c>
      <c r="Q22" s="235">
        <f>1164-790</f>
        <v>374</v>
      </c>
      <c r="R22" s="176"/>
      <c r="S22" s="176"/>
      <c r="V22" s="76">
        <v>81564</v>
      </c>
      <c r="W22" s="76">
        <v>388.4</v>
      </c>
      <c r="AB22" s="76" t="e">
        <f>CONCATENATE(#REF!,B23)</f>
        <v>#REF!</v>
      </c>
      <c r="AC22" s="76">
        <f t="shared" si="1"/>
        <v>346.86468646864688</v>
      </c>
    </row>
    <row r="23" spans="1:29" ht="14" x14ac:dyDescent="0.3">
      <c r="A23" s="179">
        <v>13</v>
      </c>
      <c r="B23" s="176" t="s">
        <v>35</v>
      </c>
      <c r="C23" s="246">
        <v>868</v>
      </c>
      <c r="D23" s="246">
        <v>0</v>
      </c>
      <c r="E23" s="246">
        <v>9</v>
      </c>
      <c r="F23" s="246">
        <v>9</v>
      </c>
      <c r="G23" s="246">
        <f t="shared" si="2"/>
        <v>868</v>
      </c>
      <c r="H23" s="246">
        <f>260-36</f>
        <v>224</v>
      </c>
      <c r="I23" s="246">
        <f>347+36</f>
        <v>383</v>
      </c>
      <c r="J23" s="246">
        <f>455-194</f>
        <v>261</v>
      </c>
      <c r="K23" s="246">
        <f t="shared" si="3"/>
        <v>868</v>
      </c>
      <c r="L23" s="246">
        <v>420400</v>
      </c>
      <c r="M23" s="246">
        <v>1212</v>
      </c>
      <c r="N23" s="246">
        <f>O23*I23</f>
        <v>528283.39</v>
      </c>
      <c r="O23" s="246">
        <v>1379.33</v>
      </c>
      <c r="P23" s="176" t="s">
        <v>74</v>
      </c>
      <c r="Q23" s="235">
        <f>1724+1500+40</f>
        <v>3264</v>
      </c>
      <c r="R23" s="176"/>
      <c r="S23" s="176"/>
      <c r="V23" s="76">
        <v>100977</v>
      </c>
      <c r="W23" s="76">
        <v>291</v>
      </c>
      <c r="AB23" s="76" t="e">
        <f>CONCATENATE(#REF!,B24)</f>
        <v>#REF!</v>
      </c>
      <c r="AC23" s="76">
        <f t="shared" si="1"/>
        <v>600.60004118513189</v>
      </c>
    </row>
    <row r="24" spans="1:29" ht="14" x14ac:dyDescent="0.3">
      <c r="A24" s="179">
        <v>14</v>
      </c>
      <c r="B24" s="176" t="s">
        <v>36</v>
      </c>
      <c r="C24" s="246">
        <f>620.5+8+3.9-7.8</f>
        <v>624.6</v>
      </c>
      <c r="D24" s="246">
        <v>0</v>
      </c>
      <c r="E24" s="246">
        <v>2</v>
      </c>
      <c r="F24" s="246">
        <v>0</v>
      </c>
      <c r="G24" s="246">
        <f>C24+E24-F24</f>
        <v>626.6</v>
      </c>
      <c r="H24" s="246">
        <v>0</v>
      </c>
      <c r="I24" s="246">
        <f>608.6-8</f>
        <v>600.6</v>
      </c>
      <c r="J24" s="246">
        <f>18+8</f>
        <v>26</v>
      </c>
      <c r="K24" s="246">
        <f t="shared" si="3"/>
        <v>626.6</v>
      </c>
      <c r="L24" s="247">
        <v>5045695</v>
      </c>
      <c r="M24" s="246">
        <v>8401.09</v>
      </c>
      <c r="N24" s="246">
        <f>O24*I24</f>
        <v>5723141.4240000006</v>
      </c>
      <c r="O24" s="246">
        <v>9529.0400000000009</v>
      </c>
      <c r="P24" s="176" t="s">
        <v>75</v>
      </c>
      <c r="Q24" s="235">
        <f>1241-600</f>
        <v>641</v>
      </c>
      <c r="R24" s="176"/>
      <c r="S24" s="176"/>
      <c r="T24" s="76" t="s">
        <v>94</v>
      </c>
      <c r="V24" s="76">
        <v>1402823</v>
      </c>
      <c r="W24" s="76">
        <v>2305</v>
      </c>
      <c r="AB24" s="76" t="e">
        <f>CONCATENATE(#REF!,B25)</f>
        <v>#REF!</v>
      </c>
      <c r="AC24" s="76" t="str">
        <f t="shared" si="1"/>
        <v/>
      </c>
    </row>
    <row r="25" spans="1:29" ht="14" x14ac:dyDescent="0.3">
      <c r="A25" s="179">
        <v>15</v>
      </c>
      <c r="B25" s="176" t="s">
        <v>37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176" t="s">
        <v>74</v>
      </c>
      <c r="Q25" s="235"/>
      <c r="R25" s="176"/>
      <c r="S25" s="176"/>
      <c r="AB25" s="76" t="e">
        <f>CONCATENATE(#REF!,B26)</f>
        <v>#REF!</v>
      </c>
      <c r="AC25" s="76" t="str">
        <f t="shared" si="1"/>
        <v/>
      </c>
    </row>
    <row r="26" spans="1:29" ht="14" x14ac:dyDescent="0.3">
      <c r="A26" s="179">
        <v>16</v>
      </c>
      <c r="B26" s="176" t="s">
        <v>38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176" t="s">
        <v>76</v>
      </c>
      <c r="Q26" s="235"/>
      <c r="R26" s="176"/>
      <c r="S26" s="176"/>
      <c r="AB26" s="76" t="e">
        <f>CONCATENATE(#REF!,B27)</f>
        <v>#REF!</v>
      </c>
      <c r="AC26" s="76" t="str">
        <f t="shared" si="1"/>
        <v/>
      </c>
    </row>
    <row r="27" spans="1:29" ht="14" x14ac:dyDescent="0.3">
      <c r="A27" s="179">
        <v>17</v>
      </c>
      <c r="B27" s="176" t="s">
        <v>39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176" t="s">
        <v>77</v>
      </c>
      <c r="Q27" s="235"/>
      <c r="R27" s="176"/>
      <c r="S27" s="176"/>
      <c r="AB27" s="76" t="e">
        <f>CONCATENATE(#REF!,B28)</f>
        <v>#REF!</v>
      </c>
      <c r="AC27" s="76" t="str">
        <f t="shared" si="1"/>
        <v/>
      </c>
    </row>
    <row r="28" spans="1:29" ht="14" x14ac:dyDescent="0.3">
      <c r="A28" s="179">
        <v>18</v>
      </c>
      <c r="B28" s="176" t="s">
        <v>40</v>
      </c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176" t="s">
        <v>78</v>
      </c>
      <c r="Q28" s="235"/>
      <c r="R28" s="176"/>
      <c r="S28" s="176"/>
      <c r="AB28" s="76" t="e">
        <f>CONCATENATE(#REF!,B29)</f>
        <v>#REF!</v>
      </c>
      <c r="AC28" s="76" t="str">
        <f t="shared" si="1"/>
        <v/>
      </c>
    </row>
    <row r="29" spans="1:29" ht="14" x14ac:dyDescent="0.3">
      <c r="A29" s="179">
        <v>19</v>
      </c>
      <c r="B29" s="176" t="s">
        <v>41</v>
      </c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176" t="s">
        <v>79</v>
      </c>
      <c r="Q29" s="235"/>
      <c r="R29" s="176"/>
      <c r="S29" s="176"/>
      <c r="AB29" s="76" t="e">
        <f>CONCATENATE(#REF!,B30)</f>
        <v>#REF!</v>
      </c>
      <c r="AC29" s="76" t="str">
        <f t="shared" si="1"/>
        <v/>
      </c>
    </row>
    <row r="30" spans="1:29" ht="14" x14ac:dyDescent="0.3">
      <c r="A30" s="179">
        <v>20</v>
      </c>
      <c r="B30" s="176" t="s">
        <v>42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176" t="s">
        <v>80</v>
      </c>
      <c r="Q30" s="235"/>
      <c r="R30" s="176"/>
      <c r="S30" s="176"/>
      <c r="AB30" s="76" t="e">
        <f>CONCATENATE(#REF!,B31)</f>
        <v>#REF!</v>
      </c>
      <c r="AC30" s="76" t="str">
        <f t="shared" si="1"/>
        <v/>
      </c>
    </row>
    <row r="31" spans="1:29" ht="14" x14ac:dyDescent="0.3">
      <c r="A31" s="179">
        <v>21</v>
      </c>
      <c r="B31" s="176" t="s">
        <v>43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176" t="s">
        <v>69</v>
      </c>
      <c r="Q31" s="235"/>
      <c r="R31" s="176"/>
      <c r="S31" s="176"/>
      <c r="AB31" s="76" t="e">
        <f>CONCATENATE(#REF!,B32)</f>
        <v>#REF!</v>
      </c>
      <c r="AC31" s="76" t="str">
        <f t="shared" si="1"/>
        <v/>
      </c>
    </row>
    <row r="32" spans="1:29" ht="14" x14ac:dyDescent="0.3">
      <c r="A32" s="179">
        <v>22</v>
      </c>
      <c r="B32" s="176" t="s">
        <v>44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176" t="s">
        <v>81</v>
      </c>
      <c r="Q32" s="235"/>
      <c r="R32" s="176"/>
      <c r="S32" s="176"/>
      <c r="AB32" s="76" t="e">
        <f>CONCATENATE(#REF!,B33)</f>
        <v>#REF!</v>
      </c>
      <c r="AC32" s="76" t="str">
        <f t="shared" si="1"/>
        <v/>
      </c>
    </row>
    <row r="33" spans="1:29" ht="14" x14ac:dyDescent="0.3">
      <c r="A33" s="179">
        <v>23</v>
      </c>
      <c r="B33" s="176" t="s">
        <v>45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176" t="s">
        <v>81</v>
      </c>
      <c r="Q33" s="176"/>
      <c r="R33" s="176"/>
      <c r="S33" s="176"/>
      <c r="AB33" s="76" t="e">
        <f>CONCATENATE(#REF!,B34)</f>
        <v>#REF!</v>
      </c>
      <c r="AC33" s="76">
        <f t="shared" si="1"/>
        <v>0.8</v>
      </c>
    </row>
    <row r="34" spans="1:29" ht="14" x14ac:dyDescent="0.3">
      <c r="A34" s="179">
        <v>24</v>
      </c>
      <c r="B34" s="176" t="s">
        <v>46</v>
      </c>
      <c r="C34" s="246">
        <v>1</v>
      </c>
      <c r="D34" s="246">
        <v>0</v>
      </c>
      <c r="E34" s="246">
        <v>0.8</v>
      </c>
      <c r="F34" s="246">
        <v>0</v>
      </c>
      <c r="G34" s="246">
        <f>C34+E34-F34</f>
        <v>1.8</v>
      </c>
      <c r="H34" s="246">
        <f>1-0.2</f>
        <v>0.8</v>
      </c>
      <c r="I34" s="246">
        <v>0.8</v>
      </c>
      <c r="J34" s="246">
        <v>0.2</v>
      </c>
      <c r="K34" s="246">
        <f>SUM(H34:J34)</f>
        <v>1.8</v>
      </c>
      <c r="L34" s="246">
        <v>120</v>
      </c>
      <c r="M34" s="246">
        <v>150</v>
      </c>
      <c r="N34" s="246">
        <f>O34*I34</f>
        <v>317</v>
      </c>
      <c r="O34" s="246">
        <v>396.25</v>
      </c>
      <c r="P34" s="176" t="s">
        <v>72</v>
      </c>
      <c r="Q34" s="244"/>
      <c r="R34" s="244"/>
      <c r="S34" s="176"/>
      <c r="V34" s="76">
        <v>0</v>
      </c>
      <c r="W34" s="76">
        <v>0</v>
      </c>
      <c r="AB34" s="76" t="e">
        <f>CONCATENATE(#REF!,B35)</f>
        <v>#REF!</v>
      </c>
      <c r="AC34" s="76" t="str">
        <f t="shared" si="1"/>
        <v/>
      </c>
    </row>
    <row r="35" spans="1:29" ht="14" x14ac:dyDescent="0.3">
      <c r="A35" s="179">
        <v>25</v>
      </c>
      <c r="B35" s="176" t="s">
        <v>47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176" t="s">
        <v>75</v>
      </c>
      <c r="Q35" s="176"/>
      <c r="R35" s="176"/>
      <c r="S35" s="176"/>
      <c r="AB35" s="76" t="e">
        <f>CONCATENATE(#REF!,B36)</f>
        <v>#REF!</v>
      </c>
      <c r="AC35" s="76" t="str">
        <f t="shared" si="1"/>
        <v/>
      </c>
    </row>
    <row r="36" spans="1:29" ht="14" x14ac:dyDescent="0.3">
      <c r="A36" s="179">
        <v>26</v>
      </c>
      <c r="B36" s="176" t="s">
        <v>48</v>
      </c>
      <c r="C36" s="176"/>
      <c r="D36" s="176"/>
      <c r="E36" s="176"/>
      <c r="F36" s="201"/>
      <c r="G36" s="201"/>
      <c r="H36" s="201"/>
      <c r="I36" s="201"/>
      <c r="J36" s="201"/>
      <c r="K36" s="201"/>
      <c r="L36" s="176"/>
      <c r="M36" s="176"/>
      <c r="N36" s="176"/>
      <c r="O36" s="176"/>
      <c r="P36" s="176" t="s">
        <v>72</v>
      </c>
      <c r="Q36" s="176"/>
      <c r="R36" s="176"/>
      <c r="S36" s="176"/>
      <c r="AB36" s="76" t="e">
        <f>CONCATENATE(#REF!,B37)</f>
        <v>#REF!</v>
      </c>
      <c r="AC36" s="76" t="str">
        <f t="shared" si="1"/>
        <v/>
      </c>
    </row>
    <row r="37" spans="1:29" ht="14" x14ac:dyDescent="0.3">
      <c r="A37" s="179">
        <v>27</v>
      </c>
      <c r="B37" s="176" t="s">
        <v>49</v>
      </c>
      <c r="C37" s="176"/>
      <c r="D37" s="176"/>
      <c r="E37" s="176"/>
      <c r="F37" s="201"/>
      <c r="G37" s="201"/>
      <c r="H37" s="201"/>
      <c r="I37" s="201"/>
      <c r="J37" s="201"/>
      <c r="K37" s="201"/>
      <c r="L37" s="176"/>
      <c r="M37" s="176"/>
      <c r="N37" s="176"/>
      <c r="O37" s="176"/>
      <c r="P37" s="176" t="s">
        <v>84</v>
      </c>
      <c r="Q37" s="176"/>
      <c r="R37" s="176"/>
      <c r="S37" s="176"/>
      <c r="AB37" s="76" t="e">
        <f>CONCATENATE(#REF!,B38)</f>
        <v>#REF!</v>
      </c>
      <c r="AC37" s="76" t="str">
        <f t="shared" si="1"/>
        <v/>
      </c>
    </row>
    <row r="38" spans="1:29" ht="14" x14ac:dyDescent="0.3">
      <c r="A38" s="179">
        <v>28</v>
      </c>
      <c r="B38" s="176" t="s">
        <v>50</v>
      </c>
      <c r="C38" s="176"/>
      <c r="D38" s="176"/>
      <c r="E38" s="176"/>
      <c r="F38" s="201"/>
      <c r="G38" s="201"/>
      <c r="H38" s="201"/>
      <c r="I38" s="201"/>
      <c r="J38" s="201"/>
      <c r="K38" s="201"/>
      <c r="L38" s="176"/>
      <c r="M38" s="176"/>
      <c r="N38" s="176"/>
      <c r="O38" s="176"/>
      <c r="P38" s="176" t="s">
        <v>77</v>
      </c>
      <c r="Q38" s="176"/>
      <c r="R38" s="176"/>
      <c r="S38" s="176"/>
      <c r="AB38" s="76" t="e">
        <f>CONCATENATE(#REF!,#REF!)</f>
        <v>#REF!</v>
      </c>
    </row>
    <row r="39" spans="1:29" ht="14" x14ac:dyDescent="0.3">
      <c r="A39" s="179">
        <v>29</v>
      </c>
      <c r="B39" s="176" t="s">
        <v>51</v>
      </c>
      <c r="C39" s="176"/>
      <c r="D39" s="176"/>
      <c r="E39" s="176"/>
      <c r="F39" s="201"/>
      <c r="G39" s="201"/>
      <c r="H39" s="201"/>
      <c r="I39" s="201"/>
      <c r="J39" s="201"/>
      <c r="K39" s="201"/>
      <c r="L39" s="176"/>
      <c r="M39" s="176"/>
      <c r="N39" s="176"/>
      <c r="O39" s="176"/>
      <c r="P39" s="176" t="s">
        <v>82</v>
      </c>
      <c r="Q39" s="176"/>
      <c r="R39" s="176"/>
      <c r="S39" s="176"/>
      <c r="AB39" s="76" t="e">
        <f>CONCATENATE(#REF!,B40)</f>
        <v>#REF!</v>
      </c>
      <c r="AC39" s="76" t="str">
        <f>IF(L40="","",L40/M40)</f>
        <v/>
      </c>
    </row>
    <row r="40" spans="1:29" ht="14" x14ac:dyDescent="0.3">
      <c r="A40" s="179">
        <v>30</v>
      </c>
      <c r="B40" s="176" t="s">
        <v>52</v>
      </c>
      <c r="C40" s="176"/>
      <c r="D40" s="176"/>
      <c r="E40" s="176"/>
      <c r="F40" s="201"/>
      <c r="G40" s="201"/>
      <c r="H40" s="201"/>
      <c r="I40" s="201"/>
      <c r="J40" s="201"/>
      <c r="K40" s="201"/>
      <c r="L40" s="176"/>
      <c r="M40" s="176"/>
      <c r="N40" s="176"/>
      <c r="O40" s="176"/>
      <c r="P40" s="176" t="s">
        <v>83</v>
      </c>
      <c r="Q40" s="176"/>
      <c r="R40" s="176"/>
      <c r="S40" s="176"/>
    </row>
    <row r="41" spans="1:29" ht="14" x14ac:dyDescent="0.3">
      <c r="A41" s="151"/>
      <c r="B41" s="151"/>
      <c r="C41" s="151"/>
      <c r="D41" s="151"/>
      <c r="E41" s="151"/>
      <c r="F41" s="152"/>
      <c r="G41" s="152"/>
      <c r="H41" s="152"/>
      <c r="I41" s="152"/>
      <c r="J41" s="152"/>
      <c r="K41" s="152"/>
      <c r="L41" s="151"/>
      <c r="M41" s="151"/>
      <c r="N41" s="151"/>
      <c r="O41" s="151"/>
      <c r="P41" s="151"/>
      <c r="Q41" s="151"/>
      <c r="R41" s="151"/>
      <c r="S41" s="151"/>
    </row>
    <row r="42" spans="1:29" ht="14" x14ac:dyDescent="0.3">
      <c r="A42" s="151"/>
      <c r="B42" s="151"/>
      <c r="C42" s="151"/>
      <c r="D42" s="151"/>
      <c r="E42" s="151"/>
      <c r="F42" s="152"/>
      <c r="G42" s="152"/>
      <c r="H42" s="152"/>
      <c r="I42" s="152"/>
      <c r="J42" s="152"/>
      <c r="K42" s="152"/>
      <c r="L42" s="151"/>
      <c r="M42" s="151"/>
      <c r="N42" s="151"/>
      <c r="O42" s="151"/>
      <c r="P42" s="286" t="s">
        <v>110</v>
      </c>
      <c r="Q42" s="286"/>
      <c r="R42" s="286"/>
      <c r="S42" s="151"/>
    </row>
    <row r="43" spans="1:29" ht="13.5" customHeight="1" x14ac:dyDescent="0.3">
      <c r="A43" s="151"/>
      <c r="B43" s="151"/>
      <c r="C43" s="151"/>
      <c r="D43" s="151"/>
      <c r="E43" s="151"/>
      <c r="F43" s="152"/>
      <c r="G43" s="152"/>
      <c r="H43" s="152"/>
      <c r="I43" s="152"/>
      <c r="J43" s="152"/>
      <c r="K43" s="152"/>
      <c r="L43" s="151"/>
      <c r="M43" s="151"/>
      <c r="N43" s="151"/>
      <c r="O43" s="151"/>
      <c r="P43" s="190"/>
      <c r="Q43" s="190"/>
      <c r="R43" s="190"/>
      <c r="S43" s="151"/>
    </row>
    <row r="44" spans="1:29" ht="13.5" customHeight="1" x14ac:dyDescent="0.3">
      <c r="A44" s="151"/>
      <c r="B44" s="151"/>
      <c r="C44" s="151"/>
      <c r="D44" s="151"/>
      <c r="E44" s="151"/>
      <c r="F44" s="152"/>
      <c r="G44" s="152"/>
      <c r="H44" s="152"/>
      <c r="I44" s="152"/>
      <c r="J44" s="152"/>
      <c r="K44" s="152"/>
      <c r="L44" s="151"/>
      <c r="M44" s="151"/>
      <c r="N44" s="151"/>
      <c r="O44" s="151"/>
      <c r="P44" s="190"/>
      <c r="Q44" s="190"/>
      <c r="R44" s="190"/>
      <c r="S44" s="151"/>
    </row>
    <row r="45" spans="1:29" ht="14" x14ac:dyDescent="0.3">
      <c r="A45" s="151"/>
      <c r="B45" s="151"/>
      <c r="C45" s="151"/>
      <c r="D45" s="151"/>
      <c r="E45" s="151"/>
      <c r="F45" s="152"/>
      <c r="G45" s="152"/>
      <c r="H45" s="152"/>
      <c r="I45" s="152"/>
      <c r="J45" s="152"/>
      <c r="K45" s="152"/>
      <c r="L45" s="151"/>
      <c r="M45" s="151"/>
      <c r="N45" s="151"/>
      <c r="O45" s="151"/>
      <c r="P45" s="293" t="s">
        <v>147</v>
      </c>
      <c r="Q45" s="293"/>
      <c r="R45" s="293"/>
      <c r="S45" s="151"/>
    </row>
    <row r="46" spans="1:29" ht="14" x14ac:dyDescent="0.3">
      <c r="A46" s="151"/>
      <c r="B46" s="151"/>
      <c r="C46" s="151"/>
      <c r="D46" s="151"/>
      <c r="E46" s="151"/>
      <c r="F46" s="152"/>
      <c r="G46" s="152"/>
      <c r="H46" s="152"/>
      <c r="I46" s="152"/>
      <c r="J46" s="152"/>
      <c r="K46" s="152"/>
      <c r="L46" s="151"/>
      <c r="M46" s="151"/>
      <c r="N46" s="151"/>
      <c r="O46" s="151"/>
      <c r="P46" s="151"/>
      <c r="Q46" s="151"/>
      <c r="R46" s="151"/>
      <c r="S46" s="151"/>
    </row>
  </sheetData>
  <mergeCells count="13">
    <mergeCell ref="P42:R42"/>
    <mergeCell ref="P45:R45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5" right="0.25" top="0.25" bottom="0.25" header="0.3" footer="0.3"/>
  <pageSetup paperSize="5" scale="75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AC46"/>
  <sheetViews>
    <sheetView topLeftCell="A9" zoomScale="90" zoomScaleNormal="90" workbookViewId="0">
      <selection activeCell="O25" sqref="O25"/>
    </sheetView>
  </sheetViews>
  <sheetFormatPr defaultRowHeight="14.5" x14ac:dyDescent="0.35"/>
  <cols>
    <col min="1" max="1" width="5.54296875" customWidth="1"/>
    <col min="2" max="2" width="20.453125" customWidth="1"/>
    <col min="3" max="3" width="14.54296875" customWidth="1"/>
    <col min="4" max="4" width="11.453125" customWidth="1"/>
    <col min="5" max="5" width="12.453125" customWidth="1"/>
    <col min="6" max="6" width="11.1796875" customWidth="1"/>
    <col min="7" max="7" width="10.7265625" style="32" customWidth="1"/>
    <col min="8" max="8" width="10.1796875" style="32" customWidth="1"/>
    <col min="9" max="9" width="10.453125" style="32" customWidth="1"/>
    <col min="10" max="10" width="8.453125" style="32" customWidth="1"/>
    <col min="11" max="11" width="11" style="32" customWidth="1"/>
    <col min="12" max="12" width="15.54296875" customWidth="1"/>
    <col min="13" max="13" width="11.81640625" customWidth="1"/>
    <col min="14" max="14" width="16" customWidth="1"/>
    <col min="15" max="15" width="13.54296875" customWidth="1"/>
    <col min="16" max="16" width="17.7265625" customWidth="1"/>
    <col min="17" max="17" width="11.453125" customWidth="1"/>
    <col min="18" max="18" width="8" customWidth="1"/>
    <col min="19" max="19" width="5.81640625" customWidth="1"/>
    <col min="28" max="29" width="9.1796875" hidden="1" customWidth="1"/>
  </cols>
  <sheetData>
    <row r="1" spans="1:29" x14ac:dyDescent="0.35">
      <c r="A1" s="1" t="s">
        <v>57</v>
      </c>
      <c r="G1" s="30"/>
      <c r="H1" s="30"/>
      <c r="I1" s="30"/>
      <c r="J1" s="30"/>
      <c r="K1" s="30"/>
    </row>
    <row r="2" spans="1:29" x14ac:dyDescent="0.35">
      <c r="A2" s="2"/>
      <c r="G2" s="30"/>
      <c r="H2" s="30"/>
      <c r="I2" s="30"/>
      <c r="J2" s="30"/>
      <c r="K2" s="30"/>
    </row>
    <row r="3" spans="1:29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29" x14ac:dyDescent="0.35">
      <c r="A4" s="1"/>
      <c r="G4" s="30"/>
      <c r="H4" s="30"/>
      <c r="I4" s="30"/>
      <c r="J4" s="30"/>
      <c r="K4" s="30"/>
      <c r="R4" s="5"/>
      <c r="S4" s="6"/>
    </row>
    <row r="5" spans="1:29" x14ac:dyDescent="0.35">
      <c r="A5" s="1" t="s">
        <v>175</v>
      </c>
      <c r="C5" t="s">
        <v>194</v>
      </c>
      <c r="G5" s="30"/>
      <c r="H5" s="30"/>
      <c r="I5" s="30"/>
      <c r="J5" s="30"/>
      <c r="K5" s="30"/>
      <c r="N5" s="28"/>
      <c r="Q5" t="s">
        <v>60</v>
      </c>
      <c r="R5" s="1">
        <v>2019</v>
      </c>
    </row>
    <row r="6" spans="1:29" x14ac:dyDescent="0.35">
      <c r="A6" s="1" t="s">
        <v>176</v>
      </c>
      <c r="C6" t="s">
        <v>172</v>
      </c>
      <c r="G6" s="30"/>
      <c r="H6" s="30"/>
      <c r="I6" s="30"/>
      <c r="J6" s="30"/>
      <c r="K6" s="30"/>
      <c r="N6" s="28"/>
      <c r="Q6" t="s">
        <v>93</v>
      </c>
      <c r="R6" s="1" t="s">
        <v>202</v>
      </c>
    </row>
    <row r="7" spans="1:29" x14ac:dyDescent="0.35">
      <c r="A7" s="1" t="s">
        <v>177</v>
      </c>
      <c r="C7" t="s">
        <v>174</v>
      </c>
      <c r="G7" s="30"/>
      <c r="H7" s="30"/>
      <c r="I7" s="30"/>
      <c r="J7" s="30"/>
      <c r="K7" s="30"/>
    </row>
    <row r="8" spans="1:29" s="11" customFormat="1" x14ac:dyDescent="0.35">
      <c r="A8" s="283" t="s">
        <v>3</v>
      </c>
      <c r="B8" s="283" t="s">
        <v>4</v>
      </c>
      <c r="C8" s="283" t="s">
        <v>23</v>
      </c>
      <c r="D8" s="283" t="s">
        <v>6</v>
      </c>
      <c r="E8" s="283"/>
      <c r="F8" s="283"/>
      <c r="G8" s="283"/>
      <c r="H8" s="283"/>
      <c r="I8" s="283"/>
      <c r="J8" s="283"/>
      <c r="K8" s="283"/>
      <c r="L8" s="283" t="s">
        <v>22</v>
      </c>
      <c r="M8" s="283"/>
      <c r="N8" s="283"/>
      <c r="O8" s="283"/>
      <c r="P8" s="155"/>
      <c r="Q8" s="156"/>
      <c r="R8" s="157"/>
      <c r="S8" s="155"/>
      <c r="AB8" s="11" t="s">
        <v>54</v>
      </c>
      <c r="AC8" s="11" t="s">
        <v>54</v>
      </c>
    </row>
    <row r="9" spans="1:29" s="11" customFormat="1" ht="43.5" x14ac:dyDescent="0.35">
      <c r="A9" s="283"/>
      <c r="B9" s="283"/>
      <c r="C9" s="283"/>
      <c r="D9" s="284" t="s">
        <v>7</v>
      </c>
      <c r="E9" s="284"/>
      <c r="F9" s="284"/>
      <c r="G9" s="284"/>
      <c r="H9" s="294" t="s">
        <v>12</v>
      </c>
      <c r="I9" s="294"/>
      <c r="J9" s="294"/>
      <c r="K9" s="294"/>
      <c r="L9" s="284" t="s">
        <v>13</v>
      </c>
      <c r="M9" s="284"/>
      <c r="N9" s="284" t="s">
        <v>15</v>
      </c>
      <c r="O9" s="284"/>
      <c r="P9" s="158"/>
      <c r="Q9" s="281" t="s">
        <v>17</v>
      </c>
      <c r="R9" s="282"/>
      <c r="S9" s="158" t="s">
        <v>167</v>
      </c>
      <c r="V9" s="11" t="s">
        <v>15</v>
      </c>
      <c r="AB9" s="11" t="s">
        <v>56</v>
      </c>
      <c r="AC9" s="11" t="s">
        <v>56</v>
      </c>
    </row>
    <row r="10" spans="1:29" s="11" customFormat="1" ht="43.5" x14ac:dyDescent="0.35">
      <c r="A10" s="283"/>
      <c r="B10" s="283"/>
      <c r="C10" s="283"/>
      <c r="D10" s="159" t="s">
        <v>8</v>
      </c>
      <c r="E10" s="159" t="s">
        <v>9</v>
      </c>
      <c r="F10" s="159" t="s">
        <v>10</v>
      </c>
      <c r="G10" s="160" t="s">
        <v>11</v>
      </c>
      <c r="H10" s="160" t="s">
        <v>0</v>
      </c>
      <c r="I10" s="160" t="s">
        <v>1</v>
      </c>
      <c r="J10" s="160" t="s">
        <v>2</v>
      </c>
      <c r="K10" s="160" t="s">
        <v>11</v>
      </c>
      <c r="L10" s="159" t="s">
        <v>14</v>
      </c>
      <c r="M10" s="159" t="s">
        <v>21</v>
      </c>
      <c r="N10" s="159" t="s">
        <v>14</v>
      </c>
      <c r="O10" s="159" t="s">
        <v>21</v>
      </c>
      <c r="P10" s="161" t="s">
        <v>16</v>
      </c>
      <c r="Q10" s="159" t="s">
        <v>19</v>
      </c>
      <c r="R10" s="159" t="s">
        <v>20</v>
      </c>
      <c r="S10" s="161"/>
      <c r="V10" s="11" t="s">
        <v>14</v>
      </c>
      <c r="W10" s="11" t="s">
        <v>21</v>
      </c>
      <c r="AB10" s="11" t="s">
        <v>55</v>
      </c>
      <c r="AC10" s="11" t="s">
        <v>55</v>
      </c>
    </row>
    <row r="11" spans="1:29" x14ac:dyDescent="0.35">
      <c r="A11" s="179">
        <v>1</v>
      </c>
      <c r="B11" s="176" t="s">
        <v>5</v>
      </c>
      <c r="C11" s="176"/>
      <c r="D11" s="176"/>
      <c r="E11" s="176"/>
      <c r="F11" s="176"/>
      <c r="G11" s="201"/>
      <c r="H11" s="201"/>
      <c r="I11" s="201"/>
      <c r="J11" s="201"/>
      <c r="K11" s="201"/>
      <c r="L11" s="176"/>
      <c r="M11" s="176"/>
      <c r="N11" s="176"/>
      <c r="O11" s="176"/>
      <c r="P11" s="176" t="s">
        <v>67</v>
      </c>
      <c r="Q11" s="176"/>
      <c r="R11" s="176"/>
      <c r="S11" s="176"/>
      <c r="AB11" t="e">
        <f>CONCATENATE(#REF!,B11)</f>
        <v>#REF!</v>
      </c>
      <c r="AC11" t="str">
        <f>IF(L11="","",L11/M11)</f>
        <v/>
      </c>
    </row>
    <row r="12" spans="1:29" x14ac:dyDescent="0.35">
      <c r="A12" s="179">
        <v>2</v>
      </c>
      <c r="B12" s="176" t="s">
        <v>25</v>
      </c>
      <c r="C12" s="176"/>
      <c r="D12" s="176"/>
      <c r="E12" s="176"/>
      <c r="F12" s="176"/>
      <c r="G12" s="201"/>
      <c r="H12" s="201"/>
      <c r="I12" s="201"/>
      <c r="J12" s="201"/>
      <c r="K12" s="201"/>
      <c r="L12" s="176"/>
      <c r="M12" s="176"/>
      <c r="N12" s="176"/>
      <c r="O12" s="176"/>
      <c r="P12" s="176" t="s">
        <v>68</v>
      </c>
      <c r="Q12" s="176"/>
      <c r="R12" s="176"/>
      <c r="S12" s="176"/>
      <c r="AB12" t="e">
        <f>CONCATENATE(#REF!,B12)</f>
        <v>#REF!</v>
      </c>
      <c r="AC12" t="str">
        <f t="shared" ref="AC12:AC20" si="0">IF(L12="","",L12/M12)</f>
        <v/>
      </c>
    </row>
    <row r="13" spans="1:29" x14ac:dyDescent="0.35">
      <c r="A13" s="179">
        <v>3</v>
      </c>
      <c r="B13" s="176" t="s">
        <v>26</v>
      </c>
      <c r="C13" s="176"/>
      <c r="D13" s="176"/>
      <c r="E13" s="176"/>
      <c r="F13" s="176"/>
      <c r="G13" s="201"/>
      <c r="H13" s="201"/>
      <c r="I13" s="201"/>
      <c r="J13" s="201"/>
      <c r="K13" s="201"/>
      <c r="L13" s="176"/>
      <c r="M13" s="176"/>
      <c r="N13" s="176"/>
      <c r="O13" s="176"/>
      <c r="P13" s="176" t="s">
        <v>68</v>
      </c>
      <c r="Q13" s="176"/>
      <c r="R13" s="176"/>
      <c r="S13" s="176"/>
      <c r="AB13" t="e">
        <f>CONCATENATE(#REF!,B13)</f>
        <v>#REF!</v>
      </c>
      <c r="AC13" t="str">
        <f t="shared" si="0"/>
        <v/>
      </c>
    </row>
    <row r="14" spans="1:29" x14ac:dyDescent="0.35">
      <c r="A14" s="179">
        <v>4</v>
      </c>
      <c r="B14" s="176" t="s">
        <v>27</v>
      </c>
      <c r="C14" s="176"/>
      <c r="D14" s="176"/>
      <c r="E14" s="176"/>
      <c r="F14" s="176"/>
      <c r="G14" s="201"/>
      <c r="H14" s="201"/>
      <c r="I14" s="201"/>
      <c r="J14" s="201"/>
      <c r="K14" s="201"/>
      <c r="L14" s="176"/>
      <c r="M14" s="176"/>
      <c r="N14" s="176"/>
      <c r="O14" s="176"/>
      <c r="P14" s="176" t="s">
        <v>69</v>
      </c>
      <c r="Q14" s="176"/>
      <c r="R14" s="176"/>
      <c r="S14" s="176"/>
      <c r="AB14" t="e">
        <f>CONCATENATE(#REF!,B14)</f>
        <v>#REF!</v>
      </c>
      <c r="AC14" t="str">
        <f t="shared" si="0"/>
        <v/>
      </c>
    </row>
    <row r="15" spans="1:29" x14ac:dyDescent="0.35">
      <c r="A15" s="179">
        <v>5</v>
      </c>
      <c r="B15" s="176" t="s">
        <v>28</v>
      </c>
      <c r="C15" s="176"/>
      <c r="D15" s="176"/>
      <c r="E15" s="176"/>
      <c r="F15" s="176"/>
      <c r="G15" s="201"/>
      <c r="H15" s="201"/>
      <c r="I15" s="201"/>
      <c r="J15" s="201"/>
      <c r="K15" s="201"/>
      <c r="L15" s="176"/>
      <c r="M15" s="176"/>
      <c r="N15" s="176"/>
      <c r="O15" s="176"/>
      <c r="P15" s="176" t="s">
        <v>70</v>
      </c>
      <c r="Q15" s="176"/>
      <c r="R15" s="176"/>
      <c r="S15" s="176"/>
      <c r="AB15" t="e">
        <f>CONCATENATE(#REF!,B15)</f>
        <v>#REF!</v>
      </c>
      <c r="AC15" t="str">
        <f t="shared" si="0"/>
        <v/>
      </c>
    </row>
    <row r="16" spans="1:29" x14ac:dyDescent="0.35">
      <c r="A16" s="179">
        <v>6</v>
      </c>
      <c r="B16" s="176" t="s">
        <v>29</v>
      </c>
      <c r="C16" s="176"/>
      <c r="D16" s="176"/>
      <c r="E16" s="176"/>
      <c r="F16" s="176"/>
      <c r="G16" s="201"/>
      <c r="H16" s="201"/>
      <c r="I16" s="201"/>
      <c r="J16" s="201"/>
      <c r="K16" s="201"/>
      <c r="L16" s="176"/>
      <c r="M16" s="176"/>
      <c r="N16" s="176"/>
      <c r="O16" s="176"/>
      <c r="P16" s="176" t="s">
        <v>70</v>
      </c>
      <c r="Q16" s="176"/>
      <c r="R16" s="176"/>
      <c r="S16" s="176"/>
      <c r="AB16" t="e">
        <f>CONCATENATE(#REF!,B16)</f>
        <v>#REF!</v>
      </c>
      <c r="AC16" t="str">
        <f t="shared" si="0"/>
        <v/>
      </c>
    </row>
    <row r="17" spans="1:29" x14ac:dyDescent="0.35">
      <c r="A17" s="179">
        <v>7</v>
      </c>
      <c r="B17" s="176" t="s">
        <v>30</v>
      </c>
      <c r="C17" s="176"/>
      <c r="D17" s="176"/>
      <c r="E17" s="176"/>
      <c r="F17" s="176"/>
      <c r="G17" s="201"/>
      <c r="H17" s="201"/>
      <c r="I17" s="201"/>
      <c r="J17" s="201"/>
      <c r="K17" s="201"/>
      <c r="L17" s="176"/>
      <c r="M17" s="176"/>
      <c r="N17" s="176"/>
      <c r="O17" s="176"/>
      <c r="P17" s="176" t="s">
        <v>71</v>
      </c>
      <c r="Q17" s="176"/>
      <c r="R17" s="176"/>
      <c r="S17" s="176"/>
      <c r="AB17" t="e">
        <f>CONCATENATE(#REF!,B17)</f>
        <v>#REF!</v>
      </c>
      <c r="AC17" t="str">
        <f t="shared" si="0"/>
        <v/>
      </c>
    </row>
    <row r="18" spans="1:29" x14ac:dyDescent="0.35">
      <c r="A18" s="179">
        <v>8</v>
      </c>
      <c r="B18" s="176" t="s">
        <v>31</v>
      </c>
      <c r="C18" s="176"/>
      <c r="D18" s="176"/>
      <c r="E18" s="176"/>
      <c r="F18" s="176"/>
      <c r="G18" s="201"/>
      <c r="H18" s="201"/>
      <c r="I18" s="201"/>
      <c r="J18" s="201"/>
      <c r="K18" s="201"/>
      <c r="L18" s="176"/>
      <c r="M18" s="176"/>
      <c r="N18" s="176"/>
      <c r="O18" s="176"/>
      <c r="P18" s="176" t="s">
        <v>72</v>
      </c>
      <c r="Q18" s="176"/>
      <c r="R18" s="176"/>
      <c r="S18" s="176"/>
      <c r="AB18" t="e">
        <f>CONCATENATE(#REF!,B18)</f>
        <v>#REF!</v>
      </c>
      <c r="AC18" t="str">
        <f t="shared" si="0"/>
        <v/>
      </c>
    </row>
    <row r="19" spans="1:29" x14ac:dyDescent="0.35">
      <c r="A19" s="179">
        <v>9</v>
      </c>
      <c r="B19" s="176" t="s">
        <v>32</v>
      </c>
      <c r="C19" s="176"/>
      <c r="D19" s="176"/>
      <c r="E19" s="176"/>
      <c r="F19" s="176"/>
      <c r="G19" s="201"/>
      <c r="H19" s="201"/>
      <c r="I19" s="201"/>
      <c r="J19" s="201"/>
      <c r="K19" s="201"/>
      <c r="L19" s="176"/>
      <c r="M19" s="176"/>
      <c r="N19" s="176"/>
      <c r="O19" s="176"/>
      <c r="P19" s="176" t="s">
        <v>72</v>
      </c>
      <c r="Q19" s="176"/>
      <c r="R19" s="176"/>
      <c r="S19" s="176"/>
      <c r="AB19" t="e">
        <f>CONCATENATE(#REF!,B19)</f>
        <v>#REF!</v>
      </c>
      <c r="AC19" t="str">
        <f t="shared" si="0"/>
        <v/>
      </c>
    </row>
    <row r="20" spans="1:29" x14ac:dyDescent="0.35">
      <c r="A20" s="179">
        <v>10</v>
      </c>
      <c r="B20" s="176" t="s">
        <v>33</v>
      </c>
      <c r="C20" s="176"/>
      <c r="D20" s="176"/>
      <c r="E20" s="176"/>
      <c r="F20" s="176"/>
      <c r="G20" s="201"/>
      <c r="H20" s="201"/>
      <c r="I20" s="201"/>
      <c r="J20" s="201"/>
      <c r="K20" s="201"/>
      <c r="L20" s="176"/>
      <c r="M20" s="176"/>
      <c r="N20" s="176"/>
      <c r="O20" s="176"/>
      <c r="P20" s="176" t="s">
        <v>72</v>
      </c>
      <c r="Q20" s="176"/>
      <c r="R20" s="176"/>
      <c r="S20" s="176"/>
      <c r="AB20" t="e">
        <f>CONCATENATE(#REF!,B20)</f>
        <v>#REF!</v>
      </c>
      <c r="AC20" t="str">
        <f t="shared" si="0"/>
        <v/>
      </c>
    </row>
    <row r="21" spans="1:29" x14ac:dyDescent="0.35">
      <c r="A21" s="179">
        <v>11</v>
      </c>
      <c r="B21" s="200" t="s">
        <v>96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AB21" t="e">
        <f>CONCATENATE(#REF!,B22)</f>
        <v>#REF!</v>
      </c>
      <c r="AC21" t="str">
        <f t="shared" ref="AC21:AC37" si="1">IF(L22="","",L22/M22)</f>
        <v/>
      </c>
    </row>
    <row r="22" spans="1:29" x14ac:dyDescent="0.35">
      <c r="A22" s="179">
        <v>12</v>
      </c>
      <c r="B22" s="176" t="s">
        <v>34</v>
      </c>
      <c r="C22" s="176"/>
      <c r="D22" s="176"/>
      <c r="E22" s="176"/>
      <c r="F22" s="176"/>
      <c r="G22" s="201"/>
      <c r="H22" s="201"/>
      <c r="I22" s="201"/>
      <c r="J22" s="201"/>
      <c r="K22" s="201"/>
      <c r="L22" s="176"/>
      <c r="M22" s="176"/>
      <c r="N22" s="176"/>
      <c r="O22" s="176"/>
      <c r="P22" s="176" t="s">
        <v>73</v>
      </c>
      <c r="Q22" s="176"/>
      <c r="R22" s="176"/>
      <c r="S22" s="176"/>
      <c r="AB22" t="e">
        <f>CONCATENATE(#REF!,B23)</f>
        <v>#REF!</v>
      </c>
      <c r="AC22">
        <f t="shared" si="1"/>
        <v>588</v>
      </c>
    </row>
    <row r="23" spans="1:29" x14ac:dyDescent="0.35">
      <c r="A23" s="179">
        <v>13</v>
      </c>
      <c r="B23" s="176" t="s">
        <v>35</v>
      </c>
      <c r="C23" s="251">
        <v>1348</v>
      </c>
      <c r="D23" s="251">
        <v>0</v>
      </c>
      <c r="E23" s="251">
        <v>20</v>
      </c>
      <c r="F23" s="251">
        <v>0</v>
      </c>
      <c r="G23" s="251">
        <f>C23+E23-F23</f>
        <v>1368</v>
      </c>
      <c r="H23" s="251">
        <f>245.5+20</f>
        <v>265.5</v>
      </c>
      <c r="I23" s="251">
        <v>891</v>
      </c>
      <c r="J23" s="251">
        <v>211.5</v>
      </c>
      <c r="K23" s="251">
        <f>SUM(H23:J23)</f>
        <v>1368</v>
      </c>
      <c r="L23" s="251">
        <v>559776</v>
      </c>
      <c r="M23" s="251">
        <v>952</v>
      </c>
      <c r="N23" s="251">
        <f>O23*I23</f>
        <v>1236708</v>
      </c>
      <c r="O23" s="251">
        <v>1388</v>
      </c>
      <c r="P23" s="176" t="s">
        <v>74</v>
      </c>
      <c r="Q23" s="235">
        <f>3581-800</f>
        <v>2781</v>
      </c>
      <c r="R23" s="176"/>
      <c r="S23" s="176"/>
      <c r="V23">
        <v>264627</v>
      </c>
      <c r="W23">
        <v>297</v>
      </c>
      <c r="AB23" t="e">
        <f>CONCATENATE(#REF!,B24)</f>
        <v>#REF!</v>
      </c>
      <c r="AC23">
        <f t="shared" si="1"/>
        <v>260</v>
      </c>
    </row>
    <row r="24" spans="1:29" x14ac:dyDescent="0.35">
      <c r="A24" s="179">
        <v>14</v>
      </c>
      <c r="B24" s="176" t="s">
        <v>36</v>
      </c>
      <c r="C24" s="251">
        <v>343.2</v>
      </c>
      <c r="D24" s="251">
        <v>0</v>
      </c>
      <c r="E24" s="251">
        <v>0</v>
      </c>
      <c r="F24" s="251">
        <v>0</v>
      </c>
      <c r="G24" s="251">
        <f>C24+E24-F24</f>
        <v>343.2</v>
      </c>
      <c r="H24" s="251">
        <v>0</v>
      </c>
      <c r="I24" s="251">
        <v>260</v>
      </c>
      <c r="J24" s="251">
        <v>83.2</v>
      </c>
      <c r="K24" s="251">
        <f>SUM(H24:J24)</f>
        <v>343.2</v>
      </c>
      <c r="L24" s="250">
        <v>2261142</v>
      </c>
      <c r="M24" s="251">
        <v>8696.7000000000007</v>
      </c>
      <c r="N24" s="251">
        <f>O24*I24</f>
        <v>2507700</v>
      </c>
      <c r="O24" s="251">
        <v>9645</v>
      </c>
      <c r="P24" s="176" t="s">
        <v>75</v>
      </c>
      <c r="Q24" s="235">
        <f>709-200</f>
        <v>509</v>
      </c>
      <c r="R24" s="176"/>
      <c r="S24" s="176"/>
      <c r="V24">
        <v>581100</v>
      </c>
      <c r="W24">
        <v>2235</v>
      </c>
      <c r="AB24" t="e">
        <f>CONCATENATE(#REF!,B25)</f>
        <v>#REF!</v>
      </c>
      <c r="AC24" t="str">
        <f t="shared" si="1"/>
        <v/>
      </c>
    </row>
    <row r="25" spans="1:29" x14ac:dyDescent="0.35">
      <c r="A25" s="179">
        <v>15</v>
      </c>
      <c r="B25" s="176" t="s">
        <v>37</v>
      </c>
      <c r="C25" s="176"/>
      <c r="D25" s="176"/>
      <c r="E25" s="176"/>
      <c r="F25" s="176"/>
      <c r="G25" s="201"/>
      <c r="H25" s="201"/>
      <c r="I25" s="201"/>
      <c r="J25" s="201"/>
      <c r="K25" s="201"/>
      <c r="L25" s="176"/>
      <c r="M25" s="176"/>
      <c r="N25" s="176"/>
      <c r="O25" s="176"/>
      <c r="P25" s="176" t="s">
        <v>74</v>
      </c>
      <c r="Q25" s="176"/>
      <c r="R25" s="176"/>
      <c r="S25" s="176"/>
      <c r="AB25" t="e">
        <f>CONCATENATE(#REF!,B26)</f>
        <v>#REF!</v>
      </c>
      <c r="AC25" t="str">
        <f t="shared" si="1"/>
        <v/>
      </c>
    </row>
    <row r="26" spans="1:29" x14ac:dyDescent="0.35">
      <c r="A26" s="179">
        <v>16</v>
      </c>
      <c r="B26" s="176" t="s">
        <v>38</v>
      </c>
      <c r="C26" s="176"/>
      <c r="D26" s="176"/>
      <c r="E26" s="176"/>
      <c r="F26" s="176"/>
      <c r="G26" s="201"/>
      <c r="H26" s="201"/>
      <c r="I26" s="201"/>
      <c r="J26" s="201"/>
      <c r="K26" s="201"/>
      <c r="L26" s="176"/>
      <c r="M26" s="176"/>
      <c r="N26" s="176"/>
      <c r="O26" s="176"/>
      <c r="P26" s="176" t="s">
        <v>76</v>
      </c>
      <c r="Q26" s="176"/>
      <c r="R26" s="176"/>
      <c r="S26" s="176"/>
      <c r="AB26" t="e">
        <f>CONCATENATE(#REF!,B27)</f>
        <v>#REF!</v>
      </c>
      <c r="AC26" t="str">
        <f t="shared" si="1"/>
        <v/>
      </c>
    </row>
    <row r="27" spans="1:29" x14ac:dyDescent="0.35">
      <c r="A27" s="179">
        <v>17</v>
      </c>
      <c r="B27" s="176" t="s">
        <v>39</v>
      </c>
      <c r="C27" s="176"/>
      <c r="D27" s="176"/>
      <c r="E27" s="176"/>
      <c r="F27" s="176"/>
      <c r="G27" s="201"/>
      <c r="H27" s="201"/>
      <c r="I27" s="201"/>
      <c r="J27" s="201"/>
      <c r="K27" s="201"/>
      <c r="L27" s="176"/>
      <c r="M27" s="176"/>
      <c r="N27" s="176"/>
      <c r="O27" s="176"/>
      <c r="P27" s="176" t="s">
        <v>77</v>
      </c>
      <c r="Q27" s="176"/>
      <c r="R27" s="176"/>
      <c r="S27" s="176"/>
      <c r="AB27" t="e">
        <f>CONCATENATE(#REF!,B28)</f>
        <v>#REF!</v>
      </c>
      <c r="AC27" t="str">
        <f t="shared" si="1"/>
        <v/>
      </c>
    </row>
    <row r="28" spans="1:29" x14ac:dyDescent="0.35">
      <c r="A28" s="179">
        <v>18</v>
      </c>
      <c r="B28" s="176" t="s">
        <v>40</v>
      </c>
      <c r="C28" s="176"/>
      <c r="D28" s="176"/>
      <c r="E28" s="176"/>
      <c r="F28" s="176"/>
      <c r="G28" s="201"/>
      <c r="H28" s="201"/>
      <c r="I28" s="201"/>
      <c r="J28" s="201"/>
      <c r="K28" s="201"/>
      <c r="L28" s="176"/>
      <c r="M28" s="176"/>
      <c r="N28" s="176"/>
      <c r="O28" s="176"/>
      <c r="P28" s="176" t="s">
        <v>78</v>
      </c>
      <c r="Q28" s="176"/>
      <c r="R28" s="176"/>
      <c r="S28" s="176"/>
      <c r="AB28" t="e">
        <f>CONCATENATE(#REF!,B29)</f>
        <v>#REF!</v>
      </c>
      <c r="AC28" t="str">
        <f t="shared" si="1"/>
        <v/>
      </c>
    </row>
    <row r="29" spans="1:29" x14ac:dyDescent="0.35">
      <c r="A29" s="179">
        <v>19</v>
      </c>
      <c r="B29" s="176" t="s">
        <v>41</v>
      </c>
      <c r="C29" s="176"/>
      <c r="D29" s="176"/>
      <c r="E29" s="176"/>
      <c r="F29" s="176"/>
      <c r="G29" s="201"/>
      <c r="H29" s="201"/>
      <c r="I29" s="201"/>
      <c r="J29" s="201"/>
      <c r="K29" s="201"/>
      <c r="L29" s="176"/>
      <c r="M29" s="176"/>
      <c r="N29" s="176"/>
      <c r="O29" s="176"/>
      <c r="P29" s="176" t="s">
        <v>79</v>
      </c>
      <c r="Q29" s="176"/>
      <c r="R29" s="176"/>
      <c r="S29" s="176"/>
      <c r="AB29" t="e">
        <f>CONCATENATE(#REF!,B30)</f>
        <v>#REF!</v>
      </c>
      <c r="AC29" t="str">
        <f t="shared" si="1"/>
        <v/>
      </c>
    </row>
    <row r="30" spans="1:29" x14ac:dyDescent="0.35">
      <c r="A30" s="179">
        <v>20</v>
      </c>
      <c r="B30" s="176" t="s">
        <v>42</v>
      </c>
      <c r="C30" s="176"/>
      <c r="D30" s="176"/>
      <c r="E30" s="176"/>
      <c r="F30" s="176"/>
      <c r="G30" s="201"/>
      <c r="H30" s="201"/>
      <c r="I30" s="201"/>
      <c r="J30" s="201"/>
      <c r="K30" s="201"/>
      <c r="L30" s="176"/>
      <c r="M30" s="176"/>
      <c r="N30" s="176"/>
      <c r="O30" s="176"/>
      <c r="P30" s="176" t="s">
        <v>80</v>
      </c>
      <c r="Q30" s="176"/>
      <c r="R30" s="176"/>
      <c r="S30" s="176"/>
      <c r="AB30" t="e">
        <f>CONCATENATE(#REF!,B31)</f>
        <v>#REF!</v>
      </c>
      <c r="AC30" t="str">
        <f t="shared" si="1"/>
        <v/>
      </c>
    </row>
    <row r="31" spans="1:29" x14ac:dyDescent="0.35">
      <c r="A31" s="179">
        <v>21</v>
      </c>
      <c r="B31" s="176" t="s">
        <v>43</v>
      </c>
      <c r="C31" s="176"/>
      <c r="D31" s="176"/>
      <c r="E31" s="176"/>
      <c r="F31" s="176"/>
      <c r="G31" s="201"/>
      <c r="H31" s="201"/>
      <c r="I31" s="201"/>
      <c r="J31" s="201"/>
      <c r="K31" s="201"/>
      <c r="L31" s="176"/>
      <c r="M31" s="176"/>
      <c r="N31" s="176"/>
      <c r="O31" s="176"/>
      <c r="P31" s="176" t="s">
        <v>69</v>
      </c>
      <c r="Q31" s="176"/>
      <c r="R31" s="176"/>
      <c r="S31" s="176"/>
      <c r="AB31" t="e">
        <f>CONCATENATE(#REF!,B32)</f>
        <v>#REF!</v>
      </c>
      <c r="AC31" t="str">
        <f t="shared" si="1"/>
        <v/>
      </c>
    </row>
    <row r="32" spans="1:29" x14ac:dyDescent="0.35">
      <c r="A32" s="179">
        <v>22</v>
      </c>
      <c r="B32" s="176" t="s">
        <v>44</v>
      </c>
      <c r="C32" s="176"/>
      <c r="D32" s="176"/>
      <c r="E32" s="176"/>
      <c r="F32" s="176"/>
      <c r="G32" s="201"/>
      <c r="H32" s="201"/>
      <c r="I32" s="201"/>
      <c r="J32" s="201"/>
      <c r="K32" s="201"/>
      <c r="L32" s="176"/>
      <c r="M32" s="176"/>
      <c r="N32" s="176"/>
      <c r="O32" s="176"/>
      <c r="P32" s="176" t="s">
        <v>81</v>
      </c>
      <c r="Q32" s="176"/>
      <c r="R32" s="176"/>
      <c r="S32" s="176"/>
      <c r="AB32" t="e">
        <f>CONCATENATE(#REF!,B33)</f>
        <v>#REF!</v>
      </c>
      <c r="AC32" t="str">
        <f t="shared" si="1"/>
        <v/>
      </c>
    </row>
    <row r="33" spans="1:29" x14ac:dyDescent="0.35">
      <c r="A33" s="179">
        <v>23</v>
      </c>
      <c r="B33" s="176" t="s">
        <v>45</v>
      </c>
      <c r="C33" s="176"/>
      <c r="D33" s="176"/>
      <c r="E33" s="176"/>
      <c r="F33" s="176"/>
      <c r="G33" s="201"/>
      <c r="H33" s="201"/>
      <c r="I33" s="201"/>
      <c r="J33" s="201"/>
      <c r="K33" s="201"/>
      <c r="L33" s="176"/>
      <c r="M33" s="176"/>
      <c r="N33" s="176"/>
      <c r="O33" s="176"/>
      <c r="P33" s="176" t="s">
        <v>81</v>
      </c>
      <c r="Q33" s="176"/>
      <c r="R33" s="176"/>
      <c r="S33" s="176"/>
      <c r="AB33" t="e">
        <f>CONCATENATE(#REF!,B34)</f>
        <v>#REF!</v>
      </c>
      <c r="AC33" t="str">
        <f t="shared" si="1"/>
        <v/>
      </c>
    </row>
    <row r="34" spans="1:29" x14ac:dyDescent="0.35">
      <c r="A34" s="179">
        <v>24</v>
      </c>
      <c r="B34" s="176" t="s">
        <v>46</v>
      </c>
      <c r="C34" s="176"/>
      <c r="D34" s="176"/>
      <c r="E34" s="176"/>
      <c r="F34" s="176"/>
      <c r="G34" s="201"/>
      <c r="H34" s="201"/>
      <c r="I34" s="201"/>
      <c r="J34" s="201"/>
      <c r="K34" s="201"/>
      <c r="L34" s="176"/>
      <c r="M34" s="176"/>
      <c r="N34" s="176"/>
      <c r="O34" s="176"/>
      <c r="P34" s="176" t="s">
        <v>72</v>
      </c>
      <c r="Q34" s="176"/>
      <c r="R34" s="176"/>
      <c r="S34" s="176"/>
      <c r="AB34" t="e">
        <f>CONCATENATE(#REF!,B35)</f>
        <v>#REF!</v>
      </c>
      <c r="AC34" t="str">
        <f t="shared" si="1"/>
        <v/>
      </c>
    </row>
    <row r="35" spans="1:29" x14ac:dyDescent="0.35">
      <c r="A35" s="179">
        <v>25</v>
      </c>
      <c r="B35" s="176" t="s">
        <v>47</v>
      </c>
      <c r="C35" s="176"/>
      <c r="D35" s="176"/>
      <c r="E35" s="176"/>
      <c r="F35" s="176"/>
      <c r="G35" s="201"/>
      <c r="H35" s="201"/>
      <c r="I35" s="201"/>
      <c r="J35" s="201"/>
      <c r="K35" s="201"/>
      <c r="L35" s="176"/>
      <c r="M35" s="176"/>
      <c r="N35" s="176"/>
      <c r="O35" s="176"/>
      <c r="P35" s="176" t="s">
        <v>75</v>
      </c>
      <c r="Q35" s="176"/>
      <c r="R35" s="176"/>
      <c r="S35" s="176"/>
      <c r="AB35" t="e">
        <f>CONCATENATE(#REF!,B36)</f>
        <v>#REF!</v>
      </c>
      <c r="AC35" t="str">
        <f t="shared" si="1"/>
        <v/>
      </c>
    </row>
    <row r="36" spans="1:29" x14ac:dyDescent="0.35">
      <c r="A36" s="179">
        <v>26</v>
      </c>
      <c r="B36" s="176" t="s">
        <v>48</v>
      </c>
      <c r="C36" s="176"/>
      <c r="D36" s="176"/>
      <c r="E36" s="176"/>
      <c r="F36" s="176"/>
      <c r="G36" s="201"/>
      <c r="H36" s="201"/>
      <c r="I36" s="201"/>
      <c r="J36" s="201"/>
      <c r="K36" s="201"/>
      <c r="L36" s="176"/>
      <c r="M36" s="176"/>
      <c r="N36" s="176"/>
      <c r="O36" s="176"/>
      <c r="P36" s="176" t="s">
        <v>72</v>
      </c>
      <c r="Q36" s="176"/>
      <c r="R36" s="176"/>
      <c r="S36" s="176"/>
      <c r="AB36" t="e">
        <f>CONCATENATE(#REF!,B37)</f>
        <v>#REF!</v>
      </c>
      <c r="AC36" t="str">
        <f t="shared" si="1"/>
        <v/>
      </c>
    </row>
    <row r="37" spans="1:29" x14ac:dyDescent="0.35">
      <c r="A37" s="179">
        <v>27</v>
      </c>
      <c r="B37" s="176" t="s">
        <v>49</v>
      </c>
      <c r="C37" s="176"/>
      <c r="D37" s="176"/>
      <c r="E37" s="176"/>
      <c r="F37" s="176"/>
      <c r="G37" s="201"/>
      <c r="H37" s="201"/>
      <c r="I37" s="201"/>
      <c r="J37" s="201"/>
      <c r="K37" s="201"/>
      <c r="L37" s="176"/>
      <c r="M37" s="176"/>
      <c r="N37" s="176"/>
      <c r="O37" s="176"/>
      <c r="P37" s="176" t="s">
        <v>84</v>
      </c>
      <c r="Q37" s="176"/>
      <c r="R37" s="176"/>
      <c r="S37" s="176"/>
      <c r="AB37" t="e">
        <f>CONCATENATE(#REF!,B38)</f>
        <v>#REF!</v>
      </c>
      <c r="AC37" t="str">
        <f t="shared" si="1"/>
        <v/>
      </c>
    </row>
    <row r="38" spans="1:29" x14ac:dyDescent="0.35">
      <c r="A38" s="179">
        <v>28</v>
      </c>
      <c r="B38" s="176" t="s">
        <v>50</v>
      </c>
      <c r="C38" s="176"/>
      <c r="D38" s="176"/>
      <c r="E38" s="176"/>
      <c r="F38" s="176"/>
      <c r="G38" s="201"/>
      <c r="H38" s="201"/>
      <c r="I38" s="201"/>
      <c r="J38" s="201"/>
      <c r="K38" s="201"/>
      <c r="L38" s="176"/>
      <c r="M38" s="176"/>
      <c r="N38" s="176"/>
      <c r="O38" s="176"/>
      <c r="P38" s="176" t="s">
        <v>77</v>
      </c>
      <c r="Q38" s="176"/>
      <c r="R38" s="176"/>
      <c r="S38" s="176"/>
      <c r="AB38" t="e">
        <f>CONCATENATE(#REF!,#REF!)</f>
        <v>#REF!</v>
      </c>
    </row>
    <row r="39" spans="1:29" x14ac:dyDescent="0.35">
      <c r="A39" s="179">
        <v>29</v>
      </c>
      <c r="B39" s="176" t="s">
        <v>51</v>
      </c>
      <c r="C39" s="176"/>
      <c r="D39" s="176"/>
      <c r="E39" s="176"/>
      <c r="F39" s="176"/>
      <c r="G39" s="201"/>
      <c r="H39" s="201"/>
      <c r="I39" s="201"/>
      <c r="J39" s="201"/>
      <c r="K39" s="201"/>
      <c r="L39" s="176"/>
      <c r="M39" s="176"/>
      <c r="N39" s="176"/>
      <c r="O39" s="176"/>
      <c r="P39" s="176" t="s">
        <v>82</v>
      </c>
      <c r="Q39" s="176"/>
      <c r="R39" s="176"/>
      <c r="S39" s="176"/>
      <c r="AB39" t="e">
        <f>CONCATENATE(#REF!,B40)</f>
        <v>#REF!</v>
      </c>
      <c r="AC39" t="str">
        <f>IF(L40="","",L40/M40)</f>
        <v/>
      </c>
    </row>
    <row r="40" spans="1:29" x14ac:dyDescent="0.35">
      <c r="A40" s="179">
        <v>30</v>
      </c>
      <c r="B40" s="176" t="s">
        <v>52</v>
      </c>
      <c r="C40" s="176"/>
      <c r="D40" s="176"/>
      <c r="E40" s="176"/>
      <c r="F40" s="176"/>
      <c r="G40" s="201"/>
      <c r="H40" s="201"/>
      <c r="I40" s="201"/>
      <c r="J40" s="201"/>
      <c r="K40" s="201"/>
      <c r="L40" s="176"/>
      <c r="M40" s="176"/>
      <c r="N40" s="176"/>
      <c r="O40" s="176"/>
      <c r="P40" s="176" t="s">
        <v>83</v>
      </c>
      <c r="Q40" s="176"/>
      <c r="R40" s="176"/>
      <c r="S40" s="176"/>
    </row>
    <row r="42" spans="1:29" x14ac:dyDescent="0.35">
      <c r="P42" s="263" t="s">
        <v>110</v>
      </c>
      <c r="Q42" s="263"/>
      <c r="R42" s="263"/>
    </row>
    <row r="43" spans="1:29" x14ac:dyDescent="0.35">
      <c r="P43" s="68"/>
      <c r="Q43" s="68"/>
      <c r="R43" s="68"/>
    </row>
    <row r="44" spans="1:29" x14ac:dyDescent="0.35">
      <c r="P44" s="68"/>
      <c r="Q44" s="68"/>
      <c r="R44" s="68"/>
    </row>
    <row r="45" spans="1:29" x14ac:dyDescent="0.35">
      <c r="P45" s="68"/>
      <c r="Q45" s="68"/>
      <c r="R45" s="68"/>
    </row>
    <row r="46" spans="1:29" x14ac:dyDescent="0.35">
      <c r="P46" s="310" t="s">
        <v>148</v>
      </c>
      <c r="Q46" s="310"/>
      <c r="R46" s="310"/>
    </row>
  </sheetData>
  <mergeCells count="13">
    <mergeCell ref="P42:R42"/>
    <mergeCell ref="P46:R46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5" right="0.5" top="0.25" bottom="0.25" header="0.3" footer="0.3"/>
  <pageSetup paperSize="5" scale="70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</sheetPr>
  <dimension ref="A1:AC48"/>
  <sheetViews>
    <sheetView topLeftCell="A2" zoomScale="90" zoomScaleNormal="90" workbookViewId="0">
      <selection activeCell="G18" sqref="G18"/>
    </sheetView>
  </sheetViews>
  <sheetFormatPr defaultRowHeight="14.5" x14ac:dyDescent="0.35"/>
  <cols>
    <col min="1" max="1" width="5.26953125" customWidth="1"/>
    <col min="2" max="2" width="20.453125" customWidth="1"/>
    <col min="3" max="3" width="13.26953125" customWidth="1"/>
    <col min="4" max="5" width="8.81640625" customWidth="1"/>
    <col min="6" max="6" width="9.453125" customWidth="1"/>
    <col min="7" max="7" width="9.1796875" style="32"/>
    <col min="8" max="8" width="7.7265625" style="32" customWidth="1"/>
    <col min="9" max="9" width="8.453125" style="32" customWidth="1"/>
    <col min="10" max="10" width="9" style="32" customWidth="1"/>
    <col min="11" max="11" width="9.1796875" style="32"/>
    <col min="12" max="12" width="14.1796875" customWidth="1"/>
    <col min="13" max="13" width="11.453125" customWidth="1"/>
    <col min="14" max="14" width="12.54296875" customWidth="1"/>
    <col min="15" max="15" width="11.54296875" customWidth="1"/>
    <col min="16" max="16" width="17.26953125" customWidth="1"/>
    <col min="17" max="17" width="11.1796875" customWidth="1"/>
    <col min="18" max="18" width="8.26953125" customWidth="1"/>
    <col min="19" max="19" width="6" customWidth="1"/>
    <col min="22" max="22" width="11" bestFit="1" customWidth="1"/>
    <col min="28" max="29" width="9.1796875" hidden="1" customWidth="1"/>
  </cols>
  <sheetData>
    <row r="1" spans="1:29" x14ac:dyDescent="0.35">
      <c r="A1" s="1" t="s">
        <v>57</v>
      </c>
      <c r="G1" s="30"/>
      <c r="H1" s="30"/>
      <c r="I1" s="30"/>
      <c r="J1" s="30"/>
      <c r="K1" s="30"/>
    </row>
    <row r="2" spans="1:29" x14ac:dyDescent="0.35">
      <c r="A2" s="2"/>
      <c r="G2" s="30"/>
      <c r="H2" s="30"/>
      <c r="I2" s="30"/>
      <c r="J2" s="30"/>
      <c r="K2" s="30"/>
    </row>
    <row r="3" spans="1:29" ht="30" customHeight="1" x14ac:dyDescent="0.35">
      <c r="A3" s="309" t="s">
        <v>58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</row>
    <row r="4" spans="1:29" x14ac:dyDescent="0.35">
      <c r="A4" s="153"/>
      <c r="B4" s="151"/>
      <c r="C4" s="151"/>
      <c r="D4" s="151"/>
      <c r="E4" s="151"/>
      <c r="F4" s="151"/>
      <c r="G4" s="154"/>
      <c r="H4" s="154"/>
      <c r="I4" s="154"/>
      <c r="J4" s="154"/>
      <c r="K4" s="154"/>
      <c r="L4" s="151"/>
      <c r="M4" s="151"/>
      <c r="N4" s="151"/>
      <c r="O4" s="151"/>
      <c r="P4" s="151"/>
      <c r="Q4" s="151"/>
      <c r="R4" s="242"/>
      <c r="S4" s="243"/>
    </row>
    <row r="5" spans="1:29" x14ac:dyDescent="0.35">
      <c r="A5" s="153" t="s">
        <v>175</v>
      </c>
      <c r="B5" s="151"/>
      <c r="C5" s="151" t="s">
        <v>195</v>
      </c>
      <c r="D5" s="151"/>
      <c r="E5" s="151" t="s">
        <v>94</v>
      </c>
      <c r="F5" s="151"/>
      <c r="G5" s="154"/>
      <c r="H5" s="154"/>
      <c r="I5" s="154"/>
      <c r="J5" s="154"/>
      <c r="K5" s="154"/>
      <c r="L5" s="151"/>
      <c r="M5" s="151"/>
      <c r="N5" s="173"/>
      <c r="O5" s="151"/>
      <c r="P5" s="151"/>
      <c r="Q5" s="151" t="s">
        <v>181</v>
      </c>
      <c r="R5" s="153" t="s">
        <v>182</v>
      </c>
      <c r="S5" s="151"/>
    </row>
    <row r="6" spans="1:29" x14ac:dyDescent="0.35">
      <c r="A6" s="153" t="s">
        <v>176</v>
      </c>
      <c r="B6" s="151"/>
      <c r="C6" s="151" t="s">
        <v>172</v>
      </c>
      <c r="D6" s="151"/>
      <c r="E6" s="151"/>
      <c r="F6" s="151"/>
      <c r="G6" s="154"/>
      <c r="H6" s="154"/>
      <c r="I6" s="154"/>
      <c r="J6" s="154"/>
      <c r="K6" s="154"/>
      <c r="L6" s="151"/>
      <c r="M6" s="151"/>
      <c r="N6" s="151"/>
      <c r="O6" s="151"/>
      <c r="P6" s="151"/>
      <c r="Q6" s="151" t="s">
        <v>180</v>
      </c>
      <c r="R6" s="153" t="s">
        <v>203</v>
      </c>
      <c r="S6" s="151"/>
    </row>
    <row r="7" spans="1:29" x14ac:dyDescent="0.35">
      <c r="A7" s="153" t="s">
        <v>177</v>
      </c>
      <c r="B7" s="151"/>
      <c r="C7" s="151" t="s">
        <v>174</v>
      </c>
      <c r="D7" s="151"/>
      <c r="E7" s="151"/>
      <c r="F7" s="151"/>
      <c r="G7" s="154"/>
      <c r="H7" s="154"/>
      <c r="I7" s="154"/>
      <c r="J7" s="154"/>
      <c r="K7" s="154"/>
      <c r="L7" s="151"/>
      <c r="M7" s="151"/>
      <c r="N7" s="151"/>
      <c r="O7" s="151"/>
      <c r="P7" s="151"/>
      <c r="Q7" s="151"/>
      <c r="R7" s="151"/>
      <c r="S7" s="151"/>
    </row>
    <row r="8" spans="1:29" s="11" customFormat="1" x14ac:dyDescent="0.35">
      <c r="A8" s="283" t="s">
        <v>3</v>
      </c>
      <c r="B8" s="283" t="s">
        <v>4</v>
      </c>
      <c r="C8" s="283" t="s">
        <v>23</v>
      </c>
      <c r="D8" s="283" t="s">
        <v>6</v>
      </c>
      <c r="E8" s="283"/>
      <c r="F8" s="283"/>
      <c r="G8" s="283"/>
      <c r="H8" s="283"/>
      <c r="I8" s="283"/>
      <c r="J8" s="283"/>
      <c r="K8" s="283"/>
      <c r="L8" s="283" t="s">
        <v>22</v>
      </c>
      <c r="M8" s="283"/>
      <c r="N8" s="283"/>
      <c r="O8" s="283"/>
      <c r="P8" s="155"/>
      <c r="Q8" s="156"/>
      <c r="R8" s="157"/>
      <c r="S8" s="155"/>
      <c r="AB8" s="11" t="s">
        <v>54</v>
      </c>
      <c r="AC8" s="11" t="s">
        <v>54</v>
      </c>
    </row>
    <row r="9" spans="1:29" s="11" customFormat="1" ht="29" x14ac:dyDescent="0.35">
      <c r="A9" s="283"/>
      <c r="B9" s="283"/>
      <c r="C9" s="283"/>
      <c r="D9" s="284" t="s">
        <v>7</v>
      </c>
      <c r="E9" s="284"/>
      <c r="F9" s="284"/>
      <c r="G9" s="284"/>
      <c r="H9" s="294" t="s">
        <v>12</v>
      </c>
      <c r="I9" s="294"/>
      <c r="J9" s="294"/>
      <c r="K9" s="294"/>
      <c r="L9" s="284" t="s">
        <v>13</v>
      </c>
      <c r="M9" s="284"/>
      <c r="N9" s="284" t="s">
        <v>15</v>
      </c>
      <c r="O9" s="284"/>
      <c r="P9" s="158"/>
      <c r="Q9" s="281" t="s">
        <v>17</v>
      </c>
      <c r="R9" s="282"/>
      <c r="S9" s="158" t="s">
        <v>167</v>
      </c>
      <c r="V9" s="11" t="s">
        <v>15</v>
      </c>
      <c r="AB9" s="11" t="s">
        <v>56</v>
      </c>
      <c r="AC9" s="11" t="s">
        <v>56</v>
      </c>
    </row>
    <row r="10" spans="1:29" s="11" customFormat="1" ht="43.5" x14ac:dyDescent="0.35">
      <c r="A10" s="283"/>
      <c r="B10" s="283"/>
      <c r="C10" s="283"/>
      <c r="D10" s="159" t="s">
        <v>8</v>
      </c>
      <c r="E10" s="159" t="s">
        <v>9</v>
      </c>
      <c r="F10" s="159" t="s">
        <v>10</v>
      </c>
      <c r="G10" s="160" t="s">
        <v>11</v>
      </c>
      <c r="H10" s="160" t="s">
        <v>0</v>
      </c>
      <c r="I10" s="160" t="s">
        <v>1</v>
      </c>
      <c r="J10" s="160" t="s">
        <v>2</v>
      </c>
      <c r="K10" s="160" t="s">
        <v>11</v>
      </c>
      <c r="L10" s="159" t="s">
        <v>14</v>
      </c>
      <c r="M10" s="159" t="s">
        <v>21</v>
      </c>
      <c r="N10" s="159" t="s">
        <v>14</v>
      </c>
      <c r="O10" s="159" t="s">
        <v>21</v>
      </c>
      <c r="P10" s="161" t="s">
        <v>16</v>
      </c>
      <c r="Q10" s="159" t="s">
        <v>19</v>
      </c>
      <c r="R10" s="159" t="s">
        <v>20</v>
      </c>
      <c r="S10" s="161"/>
      <c r="V10" s="11" t="s">
        <v>14</v>
      </c>
      <c r="W10" s="11" t="s">
        <v>21</v>
      </c>
      <c r="AB10" s="11" t="s">
        <v>55</v>
      </c>
      <c r="AC10" s="11" t="s">
        <v>55</v>
      </c>
    </row>
    <row r="11" spans="1:29" x14ac:dyDescent="0.35">
      <c r="A11" s="179">
        <v>1</v>
      </c>
      <c r="B11" s="176" t="s">
        <v>5</v>
      </c>
      <c r="C11" s="176"/>
      <c r="D11" s="176"/>
      <c r="E11" s="176"/>
      <c r="F11" s="176"/>
      <c r="G11" s="201">
        <f>C11+E11-F11</f>
        <v>0</v>
      </c>
      <c r="H11" s="201"/>
      <c r="I11" s="201"/>
      <c r="J11" s="201"/>
      <c r="K11" s="201">
        <f>G11</f>
        <v>0</v>
      </c>
      <c r="L11" s="176"/>
      <c r="M11" s="176"/>
      <c r="N11" s="176"/>
      <c r="O11" s="176"/>
      <c r="P11" s="176" t="s">
        <v>67</v>
      </c>
      <c r="Q11" s="176"/>
      <c r="R11" s="176"/>
      <c r="S11" s="176"/>
      <c r="AB11" t="e">
        <f>CONCATENATE(#REF!,B11)</f>
        <v>#REF!</v>
      </c>
      <c r="AC11" t="str">
        <f>IF(L11="","",L11/M11)</f>
        <v/>
      </c>
    </row>
    <row r="12" spans="1:29" x14ac:dyDescent="0.35">
      <c r="A12" s="179">
        <v>2</v>
      </c>
      <c r="B12" s="176" t="s">
        <v>25</v>
      </c>
      <c r="C12" s="176"/>
      <c r="D12" s="176"/>
      <c r="E12" s="176"/>
      <c r="F12" s="176"/>
      <c r="G12" s="201"/>
      <c r="H12" s="201"/>
      <c r="I12" s="201"/>
      <c r="J12" s="201"/>
      <c r="K12" s="201"/>
      <c r="L12" s="176"/>
      <c r="M12" s="176"/>
      <c r="N12" s="176"/>
      <c r="O12" s="176"/>
      <c r="P12" s="176" t="s">
        <v>68</v>
      </c>
      <c r="Q12" s="176"/>
      <c r="R12" s="176"/>
      <c r="S12" s="176"/>
      <c r="AB12" t="e">
        <f>CONCATENATE(#REF!,B12)</f>
        <v>#REF!</v>
      </c>
      <c r="AC12" t="str">
        <f t="shared" ref="AC12:AC20" si="0">IF(L12="","",L12/M12)</f>
        <v/>
      </c>
    </row>
    <row r="13" spans="1:29" x14ac:dyDescent="0.35">
      <c r="A13" s="179">
        <v>3</v>
      </c>
      <c r="B13" s="176" t="s">
        <v>26</v>
      </c>
      <c r="C13" s="176"/>
      <c r="D13" s="176"/>
      <c r="E13" s="176"/>
      <c r="F13" s="176"/>
      <c r="G13" s="201"/>
      <c r="H13" s="201"/>
      <c r="I13" s="201"/>
      <c r="J13" s="201"/>
      <c r="K13" s="201"/>
      <c r="L13" s="176"/>
      <c r="M13" s="176"/>
      <c r="N13" s="176"/>
      <c r="O13" s="176"/>
      <c r="P13" s="176" t="s">
        <v>68</v>
      </c>
      <c r="Q13" s="176"/>
      <c r="R13" s="176"/>
      <c r="S13" s="176"/>
      <c r="AB13" t="e">
        <f>CONCATENATE(#REF!,B13)</f>
        <v>#REF!</v>
      </c>
      <c r="AC13" t="str">
        <f t="shared" si="0"/>
        <v/>
      </c>
    </row>
    <row r="14" spans="1:29" x14ac:dyDescent="0.35">
      <c r="A14" s="179">
        <v>4</v>
      </c>
      <c r="B14" s="176" t="s">
        <v>27</v>
      </c>
      <c r="C14" s="176"/>
      <c r="D14" s="176"/>
      <c r="E14" s="176"/>
      <c r="F14" s="176"/>
      <c r="G14" s="201"/>
      <c r="H14" s="201"/>
      <c r="I14" s="201"/>
      <c r="J14" s="201"/>
      <c r="K14" s="201"/>
      <c r="L14" s="176"/>
      <c r="M14" s="176"/>
      <c r="N14" s="176"/>
      <c r="O14" s="176"/>
      <c r="P14" s="176" t="s">
        <v>69</v>
      </c>
      <c r="Q14" s="176"/>
      <c r="R14" s="176"/>
      <c r="S14" s="176"/>
      <c r="AB14" t="e">
        <f>CONCATENATE(#REF!,B14)</f>
        <v>#REF!</v>
      </c>
      <c r="AC14" t="str">
        <f t="shared" si="0"/>
        <v/>
      </c>
    </row>
    <row r="15" spans="1:29" x14ac:dyDescent="0.35">
      <c r="A15" s="179">
        <v>5</v>
      </c>
      <c r="B15" s="176" t="s">
        <v>28</v>
      </c>
      <c r="C15" s="176"/>
      <c r="D15" s="176"/>
      <c r="E15" s="176"/>
      <c r="F15" s="176"/>
      <c r="G15" s="201"/>
      <c r="H15" s="201"/>
      <c r="I15" s="201"/>
      <c r="J15" s="201"/>
      <c r="K15" s="201"/>
      <c r="L15" s="176"/>
      <c r="M15" s="176"/>
      <c r="N15" s="176"/>
      <c r="O15" s="176"/>
      <c r="P15" s="176" t="s">
        <v>70</v>
      </c>
      <c r="Q15" s="176"/>
      <c r="R15" s="176"/>
      <c r="S15" s="176"/>
      <c r="AB15" t="e">
        <f>CONCATENATE(#REF!,B15)</f>
        <v>#REF!</v>
      </c>
      <c r="AC15" t="str">
        <f t="shared" si="0"/>
        <v/>
      </c>
    </row>
    <row r="16" spans="1:29" x14ac:dyDescent="0.35">
      <c r="A16" s="179">
        <v>6</v>
      </c>
      <c r="B16" s="176" t="s">
        <v>29</v>
      </c>
      <c r="C16" s="176"/>
      <c r="D16" s="176"/>
      <c r="E16" s="176"/>
      <c r="F16" s="176"/>
      <c r="G16" s="201"/>
      <c r="H16" s="201"/>
      <c r="I16" s="201"/>
      <c r="J16" s="201"/>
      <c r="K16" s="201"/>
      <c r="L16" s="176"/>
      <c r="M16" s="176"/>
      <c r="N16" s="176"/>
      <c r="O16" s="176"/>
      <c r="P16" s="176" t="s">
        <v>70</v>
      </c>
      <c r="Q16" s="176"/>
      <c r="R16" s="176"/>
      <c r="S16" s="176"/>
      <c r="AB16" t="e">
        <f>CONCATENATE(#REF!,B16)</f>
        <v>#REF!</v>
      </c>
      <c r="AC16" t="str">
        <f t="shared" si="0"/>
        <v/>
      </c>
    </row>
    <row r="17" spans="1:29" x14ac:dyDescent="0.35">
      <c r="A17" s="179">
        <v>7</v>
      </c>
      <c r="B17" s="176" t="s">
        <v>30</v>
      </c>
      <c r="C17" s="176"/>
      <c r="D17" s="176"/>
      <c r="E17" s="176"/>
      <c r="F17" s="176"/>
      <c r="G17" s="201"/>
      <c r="H17" s="201"/>
      <c r="I17" s="201"/>
      <c r="J17" s="201"/>
      <c r="K17" s="201"/>
      <c r="L17" s="176"/>
      <c r="M17" s="176"/>
      <c r="N17" s="176"/>
      <c r="O17" s="176"/>
      <c r="P17" s="176" t="s">
        <v>71</v>
      </c>
      <c r="Q17" s="176"/>
      <c r="R17" s="176"/>
      <c r="S17" s="176"/>
      <c r="AB17" t="e">
        <f>CONCATENATE(#REF!,B17)</f>
        <v>#REF!</v>
      </c>
      <c r="AC17" t="str">
        <f t="shared" si="0"/>
        <v/>
      </c>
    </row>
    <row r="18" spans="1:29" x14ac:dyDescent="0.35">
      <c r="A18" s="179">
        <v>8</v>
      </c>
      <c r="B18" s="176" t="s">
        <v>31</v>
      </c>
      <c r="C18" s="176"/>
      <c r="D18" s="176"/>
      <c r="E18" s="176"/>
      <c r="F18" s="176"/>
      <c r="G18" s="201"/>
      <c r="H18" s="201"/>
      <c r="I18" s="201"/>
      <c r="J18" s="201"/>
      <c r="K18" s="201"/>
      <c r="L18" s="176"/>
      <c r="M18" s="176"/>
      <c r="N18" s="176"/>
      <c r="O18" s="176"/>
      <c r="P18" s="176" t="s">
        <v>72</v>
      </c>
      <c r="Q18" s="176"/>
      <c r="R18" s="176"/>
      <c r="S18" s="176"/>
      <c r="AB18" t="e">
        <f>CONCATENATE(#REF!,B18)</f>
        <v>#REF!</v>
      </c>
      <c r="AC18" t="str">
        <f t="shared" si="0"/>
        <v/>
      </c>
    </row>
    <row r="19" spans="1:29" x14ac:dyDescent="0.35">
      <c r="A19" s="179">
        <v>9</v>
      </c>
      <c r="B19" s="176" t="s">
        <v>32</v>
      </c>
      <c r="C19" s="176"/>
      <c r="D19" s="176"/>
      <c r="E19" s="176"/>
      <c r="F19" s="176"/>
      <c r="G19" s="201"/>
      <c r="H19" s="201"/>
      <c r="I19" s="201"/>
      <c r="J19" s="201"/>
      <c r="K19" s="201"/>
      <c r="L19" s="176"/>
      <c r="M19" s="176"/>
      <c r="N19" s="176"/>
      <c r="O19" s="176"/>
      <c r="P19" s="176" t="s">
        <v>72</v>
      </c>
      <c r="Q19" s="176"/>
      <c r="R19" s="176"/>
      <c r="S19" s="176"/>
      <c r="AB19" t="e">
        <f>CONCATENATE(#REF!,B19)</f>
        <v>#REF!</v>
      </c>
      <c r="AC19" t="str">
        <f t="shared" si="0"/>
        <v/>
      </c>
    </row>
    <row r="20" spans="1:29" x14ac:dyDescent="0.35">
      <c r="A20" s="179">
        <v>10</v>
      </c>
      <c r="B20" s="176" t="s">
        <v>33</v>
      </c>
      <c r="C20" s="246">
        <v>6.28</v>
      </c>
      <c r="D20" s="246">
        <v>0</v>
      </c>
      <c r="E20" s="246">
        <v>0</v>
      </c>
      <c r="F20" s="246">
        <v>0</v>
      </c>
      <c r="G20" s="246">
        <f>C20+E20-F20</f>
        <v>6.28</v>
      </c>
      <c r="H20" s="246">
        <f>6-0.26</f>
        <v>5.74</v>
      </c>
      <c r="I20" s="246">
        <v>0</v>
      </c>
      <c r="J20" s="246">
        <f>0.54</f>
        <v>0.54</v>
      </c>
      <c r="K20" s="246">
        <f>SUM(H20:J20)</f>
        <v>6.28</v>
      </c>
      <c r="L20" s="246">
        <v>0</v>
      </c>
      <c r="M20" s="246">
        <v>0</v>
      </c>
      <c r="N20" s="246">
        <v>0</v>
      </c>
      <c r="O20" s="246">
        <v>0</v>
      </c>
      <c r="P20" s="176" t="s">
        <v>72</v>
      </c>
      <c r="Q20" s="176">
        <f>42-5</f>
        <v>37</v>
      </c>
      <c r="R20" s="176"/>
      <c r="S20" s="176"/>
      <c r="V20">
        <v>0</v>
      </c>
      <c r="W20">
        <v>0</v>
      </c>
      <c r="AB20" t="e">
        <f>CONCATENATE(#REF!,B20)</f>
        <v>#REF!</v>
      </c>
      <c r="AC20" t="e">
        <f t="shared" si="0"/>
        <v>#DIV/0!</v>
      </c>
    </row>
    <row r="21" spans="1:29" x14ac:dyDescent="0.35">
      <c r="A21" s="179">
        <v>11</v>
      </c>
      <c r="B21" s="200" t="s">
        <v>96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176"/>
      <c r="Q21" s="176"/>
      <c r="R21" s="176"/>
      <c r="S21" s="176"/>
      <c r="AB21" t="e">
        <f>CONCATENATE(#REF!,B22)</f>
        <v>#REF!</v>
      </c>
      <c r="AC21" t="str">
        <f t="shared" ref="AC21:AC37" si="1">IF(L22="","",L22/M22)</f>
        <v/>
      </c>
    </row>
    <row r="22" spans="1:29" x14ac:dyDescent="0.35">
      <c r="A22" s="179">
        <v>12</v>
      </c>
      <c r="B22" s="176" t="s">
        <v>34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176" t="s">
        <v>73</v>
      </c>
      <c r="Q22" s="176"/>
      <c r="R22" s="176"/>
      <c r="S22" s="176"/>
      <c r="AB22" t="e">
        <f>CONCATENATE(#REF!,B23)</f>
        <v>#REF!</v>
      </c>
      <c r="AC22">
        <f t="shared" si="1"/>
        <v>216.15976996298255</v>
      </c>
    </row>
    <row r="23" spans="1:29" x14ac:dyDescent="0.35">
      <c r="A23" s="179">
        <v>13</v>
      </c>
      <c r="B23" s="176" t="s">
        <v>35</v>
      </c>
      <c r="C23" s="246">
        <v>291.60000000000002</v>
      </c>
      <c r="D23" s="246">
        <v>0</v>
      </c>
      <c r="E23" s="246">
        <v>0</v>
      </c>
      <c r="F23" s="246">
        <v>0</v>
      </c>
      <c r="G23" s="246">
        <f>C23+E23-F23</f>
        <v>291.60000000000002</v>
      </c>
      <c r="H23" s="246">
        <f>57.73-5</f>
        <v>52.73</v>
      </c>
      <c r="I23" s="246">
        <f>216.16+5</f>
        <v>221.16</v>
      </c>
      <c r="J23" s="246">
        <f>73+310.3-365.59</f>
        <v>17.710000000000036</v>
      </c>
      <c r="K23" s="246">
        <f>SUM(H23:J23)</f>
        <v>291.60000000000002</v>
      </c>
      <c r="L23" s="246">
        <v>261605.2</v>
      </c>
      <c r="M23" s="246">
        <v>1210.24</v>
      </c>
      <c r="N23" s="246">
        <f>O23*I23</f>
        <v>284721.38400000002</v>
      </c>
      <c r="O23" s="246">
        <v>1287.4000000000001</v>
      </c>
      <c r="P23" s="176" t="s">
        <v>74</v>
      </c>
      <c r="Q23" s="235">
        <f>4004-1400</f>
        <v>2604</v>
      </c>
      <c r="R23" s="176"/>
      <c r="S23" s="176"/>
      <c r="U23" s="37"/>
      <c r="V23" s="28">
        <v>60524.799999999981</v>
      </c>
      <c r="W23" s="28">
        <v>280</v>
      </c>
      <c r="AB23" t="e">
        <f>CONCATENATE(#REF!,B24)</f>
        <v>#REF!</v>
      </c>
      <c r="AC23">
        <f t="shared" si="1"/>
        <v>141.47999974802835</v>
      </c>
    </row>
    <row r="24" spans="1:29" x14ac:dyDescent="0.35">
      <c r="A24" s="179">
        <v>14</v>
      </c>
      <c r="B24" s="176" t="s">
        <v>36</v>
      </c>
      <c r="C24" s="246">
        <v>46.93</v>
      </c>
      <c r="D24" s="246">
        <v>0</v>
      </c>
      <c r="E24" s="246">
        <v>0</v>
      </c>
      <c r="F24" s="246">
        <v>0</v>
      </c>
      <c r="G24" s="246">
        <f>C24+E24-F24</f>
        <v>46.93</v>
      </c>
      <c r="H24" s="246">
        <v>0</v>
      </c>
      <c r="I24" s="246">
        <v>41.48</v>
      </c>
      <c r="J24" s="246">
        <v>5.45</v>
      </c>
      <c r="K24" s="246">
        <f>SUM(H24:J24)</f>
        <v>46.93</v>
      </c>
      <c r="L24" s="247">
        <v>1122983.3500000001</v>
      </c>
      <c r="M24" s="246">
        <v>7937.4</v>
      </c>
      <c r="N24" s="246">
        <f>O24*I24</f>
        <v>316492.39999999997</v>
      </c>
      <c r="O24" s="246">
        <v>7630</v>
      </c>
      <c r="P24" s="176" t="s">
        <v>75</v>
      </c>
      <c r="Q24" s="235">
        <f>2081-1500</f>
        <v>581</v>
      </c>
      <c r="R24" s="176"/>
      <c r="S24" s="176"/>
      <c r="V24">
        <v>91202.075999999986</v>
      </c>
      <c r="W24">
        <v>2198.6999999999998</v>
      </c>
      <c r="AB24" t="e">
        <f>CONCATENATE(#REF!,B25)</f>
        <v>#REF!</v>
      </c>
      <c r="AC24" t="str">
        <f t="shared" si="1"/>
        <v/>
      </c>
    </row>
    <row r="25" spans="1:29" x14ac:dyDescent="0.35">
      <c r="A25" s="179">
        <v>15</v>
      </c>
      <c r="B25" s="176" t="s">
        <v>37</v>
      </c>
      <c r="C25" s="176"/>
      <c r="D25" s="176"/>
      <c r="E25" s="176"/>
      <c r="F25" s="176"/>
      <c r="G25" s="201"/>
      <c r="H25" s="201"/>
      <c r="I25" s="201"/>
      <c r="J25" s="201"/>
      <c r="K25" s="201"/>
      <c r="L25" s="176"/>
      <c r="M25" s="176"/>
      <c r="N25" s="176"/>
      <c r="O25" s="176"/>
      <c r="P25" s="176" t="s">
        <v>74</v>
      </c>
      <c r="Q25" s="176"/>
      <c r="R25" s="176"/>
      <c r="S25" s="176"/>
      <c r="AB25" t="e">
        <f>CONCATENATE(#REF!,B26)</f>
        <v>#REF!</v>
      </c>
      <c r="AC25" t="str">
        <f t="shared" si="1"/>
        <v/>
      </c>
    </row>
    <row r="26" spans="1:29" x14ac:dyDescent="0.35">
      <c r="A26" s="179">
        <v>16</v>
      </c>
      <c r="B26" s="176" t="s">
        <v>38</v>
      </c>
      <c r="C26" s="176"/>
      <c r="D26" s="176"/>
      <c r="E26" s="176"/>
      <c r="F26" s="176"/>
      <c r="G26" s="201"/>
      <c r="H26" s="201"/>
      <c r="I26" s="201"/>
      <c r="J26" s="201"/>
      <c r="K26" s="201"/>
      <c r="L26" s="176"/>
      <c r="M26" s="176"/>
      <c r="N26" s="176"/>
      <c r="O26" s="176"/>
      <c r="P26" s="176" t="s">
        <v>76</v>
      </c>
      <c r="Q26" s="176"/>
      <c r="R26" s="176"/>
      <c r="S26" s="176"/>
      <c r="AB26" t="e">
        <f>CONCATENATE(#REF!,B27)</f>
        <v>#REF!</v>
      </c>
      <c r="AC26" t="str">
        <f t="shared" si="1"/>
        <v/>
      </c>
    </row>
    <row r="27" spans="1:29" x14ac:dyDescent="0.35">
      <c r="A27" s="179">
        <v>17</v>
      </c>
      <c r="B27" s="176" t="s">
        <v>39</v>
      </c>
      <c r="C27" s="176"/>
      <c r="D27" s="176"/>
      <c r="E27" s="176"/>
      <c r="F27" s="176"/>
      <c r="G27" s="201"/>
      <c r="H27" s="201"/>
      <c r="I27" s="201"/>
      <c r="J27" s="201"/>
      <c r="K27" s="201"/>
      <c r="L27" s="176"/>
      <c r="M27" s="176"/>
      <c r="N27" s="176"/>
      <c r="O27" s="176"/>
      <c r="P27" s="176" t="s">
        <v>77</v>
      </c>
      <c r="Q27" s="176"/>
      <c r="R27" s="176"/>
      <c r="S27" s="176"/>
      <c r="AB27" t="e">
        <f>CONCATENATE(#REF!,B28)</f>
        <v>#REF!</v>
      </c>
      <c r="AC27" t="str">
        <f t="shared" si="1"/>
        <v/>
      </c>
    </row>
    <row r="28" spans="1:29" x14ac:dyDescent="0.35">
      <c r="A28" s="179">
        <v>18</v>
      </c>
      <c r="B28" s="176" t="s">
        <v>40</v>
      </c>
      <c r="C28" s="176"/>
      <c r="D28" s="176"/>
      <c r="E28" s="176"/>
      <c r="F28" s="176"/>
      <c r="G28" s="201"/>
      <c r="H28" s="201"/>
      <c r="I28" s="201"/>
      <c r="J28" s="201"/>
      <c r="K28" s="201"/>
      <c r="L28" s="176"/>
      <c r="M28" s="176"/>
      <c r="N28" s="176"/>
      <c r="O28" s="176"/>
      <c r="P28" s="176" t="s">
        <v>78</v>
      </c>
      <c r="Q28" s="176"/>
      <c r="R28" s="176"/>
      <c r="S28" s="176"/>
      <c r="AB28" t="e">
        <f>CONCATENATE(#REF!,B29)</f>
        <v>#REF!</v>
      </c>
      <c r="AC28" t="str">
        <f t="shared" si="1"/>
        <v/>
      </c>
    </row>
    <row r="29" spans="1:29" x14ac:dyDescent="0.35">
      <c r="A29" s="179">
        <v>19</v>
      </c>
      <c r="B29" s="176" t="s">
        <v>41</v>
      </c>
      <c r="C29" s="176"/>
      <c r="D29" s="176"/>
      <c r="E29" s="176"/>
      <c r="F29" s="176"/>
      <c r="G29" s="201"/>
      <c r="H29" s="201"/>
      <c r="I29" s="201"/>
      <c r="J29" s="201"/>
      <c r="K29" s="201"/>
      <c r="L29" s="176"/>
      <c r="M29" s="176"/>
      <c r="N29" s="176"/>
      <c r="O29" s="176"/>
      <c r="P29" s="176" t="s">
        <v>79</v>
      </c>
      <c r="Q29" s="176"/>
      <c r="R29" s="176"/>
      <c r="S29" s="176"/>
      <c r="AB29" t="e">
        <f>CONCATENATE(#REF!,B30)</f>
        <v>#REF!</v>
      </c>
      <c r="AC29" t="str">
        <f t="shared" si="1"/>
        <v/>
      </c>
    </row>
    <row r="30" spans="1:29" x14ac:dyDescent="0.35">
      <c r="A30" s="179">
        <v>20</v>
      </c>
      <c r="B30" s="176" t="s">
        <v>42</v>
      </c>
      <c r="C30" s="176"/>
      <c r="D30" s="176"/>
      <c r="E30" s="176"/>
      <c r="F30" s="176"/>
      <c r="G30" s="201"/>
      <c r="H30" s="201"/>
      <c r="I30" s="201"/>
      <c r="J30" s="201"/>
      <c r="K30" s="201"/>
      <c r="L30" s="176"/>
      <c r="M30" s="176"/>
      <c r="N30" s="176"/>
      <c r="O30" s="176"/>
      <c r="P30" s="176" t="s">
        <v>80</v>
      </c>
      <c r="Q30" s="176"/>
      <c r="R30" s="176"/>
      <c r="S30" s="176"/>
      <c r="AB30" t="e">
        <f>CONCATENATE(#REF!,B31)</f>
        <v>#REF!</v>
      </c>
      <c r="AC30" t="str">
        <f t="shared" si="1"/>
        <v/>
      </c>
    </row>
    <row r="31" spans="1:29" x14ac:dyDescent="0.35">
      <c r="A31" s="179">
        <v>21</v>
      </c>
      <c r="B31" s="176" t="s">
        <v>43</v>
      </c>
      <c r="C31" s="176"/>
      <c r="D31" s="176"/>
      <c r="E31" s="176"/>
      <c r="F31" s="176"/>
      <c r="G31" s="201"/>
      <c r="H31" s="201"/>
      <c r="I31" s="201"/>
      <c r="J31" s="201"/>
      <c r="K31" s="201"/>
      <c r="L31" s="176"/>
      <c r="M31" s="176"/>
      <c r="N31" s="176"/>
      <c r="O31" s="176"/>
      <c r="P31" s="176" t="s">
        <v>69</v>
      </c>
      <c r="Q31" s="176"/>
      <c r="R31" s="176"/>
      <c r="S31" s="176"/>
      <c r="AB31" t="e">
        <f>CONCATENATE(#REF!,B32)</f>
        <v>#REF!</v>
      </c>
      <c r="AC31" t="str">
        <f t="shared" si="1"/>
        <v/>
      </c>
    </row>
    <row r="32" spans="1:29" x14ac:dyDescent="0.35">
      <c r="A32" s="179">
        <v>22</v>
      </c>
      <c r="B32" s="176" t="s">
        <v>44</v>
      </c>
      <c r="C32" s="176"/>
      <c r="D32" s="176"/>
      <c r="E32" s="176"/>
      <c r="F32" s="176"/>
      <c r="G32" s="201"/>
      <c r="H32" s="201"/>
      <c r="I32" s="201"/>
      <c r="J32" s="201"/>
      <c r="K32" s="201"/>
      <c r="L32" s="176"/>
      <c r="M32" s="176"/>
      <c r="N32" s="176"/>
      <c r="O32" s="176"/>
      <c r="P32" s="176" t="s">
        <v>81</v>
      </c>
      <c r="Q32" s="176"/>
      <c r="R32" s="176"/>
      <c r="S32" s="176"/>
      <c r="AB32" t="e">
        <f>CONCATENATE(#REF!,B33)</f>
        <v>#REF!</v>
      </c>
      <c r="AC32" t="str">
        <f t="shared" si="1"/>
        <v/>
      </c>
    </row>
    <row r="33" spans="1:29" x14ac:dyDescent="0.35">
      <c r="A33" s="179">
        <v>23</v>
      </c>
      <c r="B33" s="176" t="s">
        <v>45</v>
      </c>
      <c r="C33" s="176"/>
      <c r="D33" s="176"/>
      <c r="E33" s="176"/>
      <c r="F33" s="176"/>
      <c r="G33" s="201"/>
      <c r="H33" s="201"/>
      <c r="I33" s="201"/>
      <c r="J33" s="201"/>
      <c r="K33" s="201"/>
      <c r="L33" s="176"/>
      <c r="M33" s="176"/>
      <c r="N33" s="176"/>
      <c r="O33" s="176"/>
      <c r="P33" s="176" t="s">
        <v>81</v>
      </c>
      <c r="Q33" s="176"/>
      <c r="R33" s="176"/>
      <c r="S33" s="176"/>
      <c r="AB33" t="e">
        <f>CONCATENATE(#REF!,B34)</f>
        <v>#REF!</v>
      </c>
      <c r="AC33" t="str">
        <f t="shared" si="1"/>
        <v/>
      </c>
    </row>
    <row r="34" spans="1:29" x14ac:dyDescent="0.35">
      <c r="A34" s="179">
        <v>24</v>
      </c>
      <c r="B34" s="176" t="s">
        <v>46</v>
      </c>
      <c r="C34" s="176"/>
      <c r="D34" s="176"/>
      <c r="E34" s="176"/>
      <c r="F34" s="176"/>
      <c r="G34" s="201"/>
      <c r="H34" s="201"/>
      <c r="I34" s="201"/>
      <c r="J34" s="201"/>
      <c r="K34" s="201"/>
      <c r="L34" s="176"/>
      <c r="M34" s="176"/>
      <c r="N34" s="176"/>
      <c r="O34" s="176"/>
      <c r="P34" s="176" t="s">
        <v>72</v>
      </c>
      <c r="Q34" s="176"/>
      <c r="R34" s="176"/>
      <c r="S34" s="176"/>
      <c r="AB34" t="e">
        <f>CONCATENATE(#REF!,B35)</f>
        <v>#REF!</v>
      </c>
      <c r="AC34" t="str">
        <f t="shared" si="1"/>
        <v/>
      </c>
    </row>
    <row r="35" spans="1:29" x14ac:dyDescent="0.35">
      <c r="A35" s="179">
        <v>25</v>
      </c>
      <c r="B35" s="176" t="s">
        <v>47</v>
      </c>
      <c r="C35" s="176"/>
      <c r="D35" s="176"/>
      <c r="E35" s="176"/>
      <c r="F35" s="176"/>
      <c r="G35" s="201"/>
      <c r="H35" s="201"/>
      <c r="I35" s="201"/>
      <c r="J35" s="201"/>
      <c r="K35" s="201"/>
      <c r="L35" s="176"/>
      <c r="M35" s="176"/>
      <c r="N35" s="176"/>
      <c r="O35" s="176"/>
      <c r="P35" s="176" t="s">
        <v>75</v>
      </c>
      <c r="Q35" s="176"/>
      <c r="R35" s="176"/>
      <c r="S35" s="176"/>
      <c r="AB35" t="e">
        <f>CONCATENATE(#REF!,B36)</f>
        <v>#REF!</v>
      </c>
      <c r="AC35" t="str">
        <f t="shared" si="1"/>
        <v/>
      </c>
    </row>
    <row r="36" spans="1:29" x14ac:dyDescent="0.35">
      <c r="A36" s="179">
        <v>26</v>
      </c>
      <c r="B36" s="176" t="s">
        <v>48</v>
      </c>
      <c r="C36" s="176"/>
      <c r="D36" s="176"/>
      <c r="E36" s="176"/>
      <c r="F36" s="176"/>
      <c r="G36" s="201"/>
      <c r="H36" s="201"/>
      <c r="I36" s="201"/>
      <c r="J36" s="201"/>
      <c r="K36" s="201"/>
      <c r="L36" s="176"/>
      <c r="M36" s="176"/>
      <c r="N36" s="176"/>
      <c r="O36" s="176"/>
      <c r="P36" s="176" t="s">
        <v>72</v>
      </c>
      <c r="Q36" s="176"/>
      <c r="R36" s="176"/>
      <c r="S36" s="176"/>
      <c r="AB36" t="e">
        <f>CONCATENATE(#REF!,B37)</f>
        <v>#REF!</v>
      </c>
      <c r="AC36" t="str">
        <f t="shared" si="1"/>
        <v/>
      </c>
    </row>
    <row r="37" spans="1:29" x14ac:dyDescent="0.35">
      <c r="A37" s="179">
        <v>27</v>
      </c>
      <c r="B37" s="176" t="s">
        <v>49</v>
      </c>
      <c r="C37" s="176"/>
      <c r="D37" s="176"/>
      <c r="E37" s="176"/>
      <c r="F37" s="176"/>
      <c r="G37" s="201"/>
      <c r="H37" s="201"/>
      <c r="I37" s="201"/>
      <c r="J37" s="201"/>
      <c r="K37" s="201"/>
      <c r="L37" s="176"/>
      <c r="M37" s="176"/>
      <c r="N37" s="176"/>
      <c r="O37" s="176"/>
      <c r="P37" s="176" t="s">
        <v>84</v>
      </c>
      <c r="Q37" s="176"/>
      <c r="R37" s="176"/>
      <c r="S37" s="176"/>
      <c r="AB37" t="e">
        <f>CONCATENATE(#REF!,B38)</f>
        <v>#REF!</v>
      </c>
      <c r="AC37" t="str">
        <f t="shared" si="1"/>
        <v/>
      </c>
    </row>
    <row r="38" spans="1:29" x14ac:dyDescent="0.35">
      <c r="A38" s="179">
        <v>28</v>
      </c>
      <c r="B38" s="176" t="s">
        <v>50</v>
      </c>
      <c r="C38" s="176"/>
      <c r="D38" s="176"/>
      <c r="E38" s="176"/>
      <c r="F38" s="176"/>
      <c r="G38" s="201"/>
      <c r="H38" s="201"/>
      <c r="I38" s="201"/>
      <c r="J38" s="201"/>
      <c r="K38" s="201"/>
      <c r="L38" s="176"/>
      <c r="M38" s="176"/>
      <c r="N38" s="176"/>
      <c r="O38" s="176"/>
      <c r="P38" s="176" t="s">
        <v>77</v>
      </c>
      <c r="Q38" s="176"/>
      <c r="R38" s="176"/>
      <c r="S38" s="176"/>
      <c r="AB38" t="e">
        <f>CONCATENATE(#REF!,#REF!)</f>
        <v>#REF!</v>
      </c>
    </row>
    <row r="39" spans="1:29" x14ac:dyDescent="0.35">
      <c r="A39" s="179">
        <v>29</v>
      </c>
      <c r="B39" s="176" t="s">
        <v>51</v>
      </c>
      <c r="C39" s="176"/>
      <c r="D39" s="176"/>
      <c r="E39" s="176"/>
      <c r="F39" s="176"/>
      <c r="G39" s="201"/>
      <c r="H39" s="201"/>
      <c r="I39" s="201"/>
      <c r="J39" s="201"/>
      <c r="K39" s="201"/>
      <c r="L39" s="176"/>
      <c r="M39" s="176"/>
      <c r="N39" s="176"/>
      <c r="O39" s="176"/>
      <c r="P39" s="176" t="s">
        <v>82</v>
      </c>
      <c r="Q39" s="176"/>
      <c r="R39" s="176"/>
      <c r="S39" s="176"/>
      <c r="AB39" t="e">
        <f>CONCATENATE(#REF!,B40)</f>
        <v>#REF!</v>
      </c>
      <c r="AC39" t="str">
        <f>IF(L40="","",L40/M40)</f>
        <v/>
      </c>
    </row>
    <row r="40" spans="1:29" x14ac:dyDescent="0.35">
      <c r="A40" s="179">
        <v>30</v>
      </c>
      <c r="B40" s="176" t="s">
        <v>52</v>
      </c>
      <c r="C40" s="176"/>
      <c r="D40" s="176"/>
      <c r="E40" s="176"/>
      <c r="F40" s="176"/>
      <c r="G40" s="201"/>
      <c r="H40" s="201"/>
      <c r="I40" s="201"/>
      <c r="J40" s="201"/>
      <c r="K40" s="201"/>
      <c r="L40" s="176"/>
      <c r="M40" s="176"/>
      <c r="N40" s="176"/>
      <c r="O40" s="176"/>
      <c r="P40" s="176" t="s">
        <v>83</v>
      </c>
      <c r="Q40" s="176"/>
      <c r="R40" s="176"/>
      <c r="S40" s="176"/>
    </row>
    <row r="41" spans="1:29" x14ac:dyDescent="0.35">
      <c r="A41" s="151"/>
      <c r="B41" s="151"/>
      <c r="C41" s="151"/>
      <c r="D41" s="151"/>
      <c r="E41" s="151"/>
      <c r="F41" s="151"/>
      <c r="G41" s="152"/>
      <c r="H41" s="152"/>
      <c r="I41" s="152"/>
      <c r="J41" s="152"/>
      <c r="K41" s="152"/>
      <c r="L41" s="151"/>
      <c r="M41" s="151"/>
      <c r="N41" s="151"/>
      <c r="O41" s="151"/>
      <c r="P41" s="151"/>
      <c r="Q41" s="151"/>
      <c r="R41" s="151"/>
      <c r="S41" s="151"/>
    </row>
    <row r="42" spans="1:29" x14ac:dyDescent="0.35">
      <c r="A42" s="151"/>
      <c r="B42" s="151"/>
      <c r="C42" s="151"/>
      <c r="D42" s="151"/>
      <c r="E42" s="151"/>
      <c r="F42" s="151"/>
      <c r="G42" s="152"/>
      <c r="H42" s="152"/>
      <c r="I42" s="152"/>
      <c r="J42" s="152"/>
      <c r="K42" s="152"/>
      <c r="L42" s="151"/>
      <c r="M42" s="151"/>
      <c r="N42" s="151"/>
      <c r="O42" s="151"/>
      <c r="P42" s="151"/>
      <c r="Q42" s="151"/>
      <c r="R42" s="151"/>
      <c r="S42" s="151"/>
    </row>
    <row r="43" spans="1:29" x14ac:dyDescent="0.35">
      <c r="A43" s="151"/>
      <c r="B43" s="151"/>
      <c r="C43" s="151"/>
      <c r="D43" s="151"/>
      <c r="E43" s="151"/>
      <c r="F43" s="151"/>
      <c r="G43" s="152"/>
      <c r="H43" s="152"/>
      <c r="I43" s="152"/>
      <c r="J43" s="152"/>
      <c r="K43" s="152"/>
      <c r="L43" s="151"/>
      <c r="M43" s="151"/>
      <c r="N43" s="151"/>
      <c r="O43" s="151"/>
      <c r="P43" s="286" t="s">
        <v>110</v>
      </c>
      <c r="Q43" s="286"/>
      <c r="R43" s="286"/>
      <c r="S43" s="151"/>
    </row>
    <row r="44" spans="1:29" x14ac:dyDescent="0.35">
      <c r="A44" s="151"/>
      <c r="B44" s="151"/>
      <c r="C44" s="151"/>
      <c r="D44" s="151"/>
      <c r="E44" s="151"/>
      <c r="F44" s="151"/>
      <c r="G44" s="152"/>
      <c r="H44" s="152"/>
      <c r="I44" s="152"/>
      <c r="J44" s="152"/>
      <c r="K44" s="152"/>
      <c r="L44" s="151"/>
      <c r="M44" s="151"/>
      <c r="N44" s="151"/>
      <c r="O44" s="151"/>
      <c r="P44" s="190"/>
      <c r="Q44" s="190"/>
      <c r="R44" s="190"/>
      <c r="S44" s="151"/>
    </row>
    <row r="45" spans="1:29" x14ac:dyDescent="0.35">
      <c r="A45" s="151"/>
      <c r="B45" s="151"/>
      <c r="C45" s="151"/>
      <c r="D45" s="151"/>
      <c r="E45" s="151"/>
      <c r="F45" s="151"/>
      <c r="G45" s="152"/>
      <c r="H45" s="152"/>
      <c r="I45" s="152"/>
      <c r="J45" s="152"/>
      <c r="K45" s="152"/>
      <c r="L45" s="151"/>
      <c r="M45" s="151"/>
      <c r="N45" s="151"/>
      <c r="O45" s="151"/>
      <c r="P45" s="190"/>
      <c r="Q45" s="190"/>
      <c r="R45" s="190"/>
      <c r="S45" s="151"/>
    </row>
    <row r="46" spans="1:29" x14ac:dyDescent="0.35">
      <c r="A46" s="151"/>
      <c r="B46" s="151"/>
      <c r="C46" s="151"/>
      <c r="D46" s="151"/>
      <c r="E46" s="151"/>
      <c r="F46" s="151"/>
      <c r="G46" s="152"/>
      <c r="H46" s="152"/>
      <c r="I46" s="152"/>
      <c r="J46" s="152"/>
      <c r="K46" s="152"/>
      <c r="L46" s="151"/>
      <c r="M46" s="151"/>
      <c r="N46" s="151"/>
      <c r="O46" s="151"/>
      <c r="P46" s="190"/>
      <c r="Q46" s="190"/>
      <c r="R46" s="190"/>
      <c r="S46" s="151"/>
    </row>
    <row r="47" spans="1:29" x14ac:dyDescent="0.35">
      <c r="A47" s="151"/>
      <c r="B47" s="151"/>
      <c r="C47" s="151"/>
      <c r="D47" s="151"/>
      <c r="E47" s="151"/>
      <c r="F47" s="151"/>
      <c r="G47" s="152"/>
      <c r="H47" s="152"/>
      <c r="I47" s="152"/>
      <c r="J47" s="152"/>
      <c r="K47" s="152"/>
      <c r="L47" s="151"/>
      <c r="M47" s="151"/>
      <c r="N47" s="151"/>
      <c r="O47" s="151"/>
      <c r="P47" s="293" t="s">
        <v>149</v>
      </c>
      <c r="Q47" s="293"/>
      <c r="R47" s="293"/>
      <c r="S47" s="151"/>
    </row>
    <row r="48" spans="1:29" x14ac:dyDescent="0.35">
      <c r="A48" s="151"/>
      <c r="B48" s="151"/>
      <c r="C48" s="151"/>
      <c r="D48" s="151"/>
      <c r="E48" s="151"/>
      <c r="F48" s="151"/>
      <c r="G48" s="152"/>
      <c r="H48" s="152"/>
      <c r="I48" s="152"/>
      <c r="J48" s="152"/>
      <c r="K48" s="152"/>
      <c r="L48" s="151"/>
      <c r="M48" s="151"/>
      <c r="N48" s="151"/>
      <c r="O48" s="151"/>
      <c r="P48" s="286" t="s">
        <v>150</v>
      </c>
      <c r="Q48" s="286"/>
      <c r="R48" s="286"/>
      <c r="S48" s="151"/>
    </row>
  </sheetData>
  <mergeCells count="14">
    <mergeCell ref="P43:R43"/>
    <mergeCell ref="P47:R47"/>
    <mergeCell ref="P48:R48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5" right="0.2" top="0.25" bottom="0.25" header="0.3" footer="0.3"/>
  <pageSetup paperSize="5" scale="75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00000"/>
  </sheetPr>
  <dimension ref="A1:AC46"/>
  <sheetViews>
    <sheetView topLeftCell="A6" zoomScale="90" zoomScaleNormal="90" workbookViewId="0">
      <selection activeCell="O25" sqref="O25"/>
    </sheetView>
  </sheetViews>
  <sheetFormatPr defaultRowHeight="14.5" x14ac:dyDescent="0.35"/>
  <cols>
    <col min="1" max="1" width="5.7265625" customWidth="1"/>
    <col min="2" max="2" width="19" customWidth="1"/>
    <col min="3" max="3" width="11.54296875" customWidth="1"/>
    <col min="4" max="4" width="8.7265625" customWidth="1"/>
    <col min="5" max="5" width="8.54296875" customWidth="1"/>
    <col min="6" max="6" width="8.26953125" customWidth="1"/>
    <col min="7" max="7" width="9.54296875" style="32" customWidth="1"/>
    <col min="8" max="9" width="8" style="32" customWidth="1"/>
    <col min="10" max="10" width="8.54296875" style="32" customWidth="1"/>
    <col min="11" max="11" width="8.7265625" style="32" customWidth="1"/>
    <col min="12" max="12" width="12.453125" customWidth="1"/>
    <col min="13" max="13" width="10.453125" customWidth="1"/>
    <col min="14" max="14" width="14" customWidth="1"/>
    <col min="15" max="15" width="10.7265625" customWidth="1"/>
    <col min="16" max="16" width="15.26953125" bestFit="1" customWidth="1"/>
    <col min="17" max="17" width="11" customWidth="1"/>
    <col min="18" max="18" width="9.26953125" customWidth="1"/>
    <col min="19" max="19" width="5.7265625" customWidth="1"/>
    <col min="22" max="22" width="12.1796875" customWidth="1"/>
    <col min="28" max="29" width="9.1796875" hidden="1" customWidth="1"/>
  </cols>
  <sheetData>
    <row r="1" spans="1:29" x14ac:dyDescent="0.35">
      <c r="A1" s="1" t="s">
        <v>57</v>
      </c>
      <c r="G1" s="30"/>
      <c r="H1" s="30"/>
      <c r="I1" s="30"/>
      <c r="J1" s="30"/>
      <c r="K1" s="30"/>
    </row>
    <row r="2" spans="1:29" x14ac:dyDescent="0.35">
      <c r="A2" s="2"/>
      <c r="G2" s="30"/>
      <c r="H2" s="30"/>
      <c r="I2" s="30"/>
      <c r="J2" s="30"/>
      <c r="K2" s="30"/>
    </row>
    <row r="3" spans="1:29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29" x14ac:dyDescent="0.35">
      <c r="A4" s="1"/>
      <c r="G4" s="30"/>
      <c r="H4" s="30"/>
      <c r="I4" s="30"/>
      <c r="J4" s="30"/>
      <c r="K4" s="30"/>
      <c r="R4" s="5"/>
      <c r="S4" s="6"/>
    </row>
    <row r="5" spans="1:29" x14ac:dyDescent="0.35">
      <c r="A5" s="1" t="s">
        <v>63</v>
      </c>
      <c r="C5" t="s">
        <v>90</v>
      </c>
      <c r="G5" s="30"/>
      <c r="H5" s="30"/>
      <c r="I5" s="30"/>
      <c r="J5" s="30"/>
      <c r="K5" s="30"/>
      <c r="N5" s="34"/>
      <c r="Q5" t="s">
        <v>60</v>
      </c>
      <c r="R5" s="1">
        <v>2019</v>
      </c>
    </row>
    <row r="6" spans="1:29" x14ac:dyDescent="0.35">
      <c r="A6" s="1" t="s">
        <v>62</v>
      </c>
      <c r="C6" t="s">
        <v>86</v>
      </c>
      <c r="G6" s="30"/>
      <c r="H6" s="30"/>
      <c r="I6" s="30"/>
      <c r="J6" s="30"/>
      <c r="K6" s="30"/>
      <c r="Q6" t="s">
        <v>93</v>
      </c>
      <c r="R6" s="1" t="s">
        <v>202</v>
      </c>
    </row>
    <row r="7" spans="1:29" x14ac:dyDescent="0.35">
      <c r="A7" s="1" t="s">
        <v>64</v>
      </c>
      <c r="C7" t="s">
        <v>53</v>
      </c>
      <c r="G7" s="30"/>
      <c r="H7" s="30"/>
      <c r="I7" s="30"/>
      <c r="J7" s="30"/>
      <c r="K7" s="30"/>
    </row>
    <row r="8" spans="1:29" s="11" customFormat="1" x14ac:dyDescent="0.35">
      <c r="A8" s="290" t="s">
        <v>3</v>
      </c>
      <c r="B8" s="290" t="s">
        <v>4</v>
      </c>
      <c r="C8" s="290" t="s">
        <v>23</v>
      </c>
      <c r="D8" s="290" t="s">
        <v>6</v>
      </c>
      <c r="E8" s="290"/>
      <c r="F8" s="290"/>
      <c r="G8" s="290"/>
      <c r="H8" s="290"/>
      <c r="I8" s="290"/>
      <c r="J8" s="290"/>
      <c r="K8" s="290"/>
      <c r="L8" s="290" t="s">
        <v>22</v>
      </c>
      <c r="M8" s="290"/>
      <c r="N8" s="290"/>
      <c r="O8" s="290"/>
      <c r="P8" s="8"/>
      <c r="Q8" s="9"/>
      <c r="R8" s="10"/>
      <c r="S8" s="8"/>
      <c r="AB8" s="11" t="s">
        <v>54</v>
      </c>
      <c r="AC8" s="11" t="s">
        <v>54</v>
      </c>
    </row>
    <row r="9" spans="1:29" s="11" customFormat="1" ht="29" x14ac:dyDescent="0.35">
      <c r="A9" s="290"/>
      <c r="B9" s="290"/>
      <c r="C9" s="290"/>
      <c r="D9" s="291" t="s">
        <v>7</v>
      </c>
      <c r="E9" s="291"/>
      <c r="F9" s="291"/>
      <c r="G9" s="291"/>
      <c r="H9" s="297" t="s">
        <v>12</v>
      </c>
      <c r="I9" s="297"/>
      <c r="J9" s="297"/>
      <c r="K9" s="297"/>
      <c r="L9" s="291" t="s">
        <v>13</v>
      </c>
      <c r="M9" s="291"/>
      <c r="N9" s="291" t="s">
        <v>15</v>
      </c>
      <c r="O9" s="291"/>
      <c r="P9" s="12"/>
      <c r="Q9" s="288" t="s">
        <v>17</v>
      </c>
      <c r="R9" s="289"/>
      <c r="S9" s="12" t="s">
        <v>104</v>
      </c>
      <c r="V9" s="11" t="s">
        <v>15</v>
      </c>
      <c r="AB9" s="11" t="s">
        <v>56</v>
      </c>
      <c r="AC9" s="11" t="s">
        <v>56</v>
      </c>
    </row>
    <row r="10" spans="1:29" s="11" customFormat="1" ht="38.25" customHeight="1" x14ac:dyDescent="0.35">
      <c r="A10" s="290"/>
      <c r="B10" s="290"/>
      <c r="C10" s="290"/>
      <c r="D10" s="13" t="s">
        <v>8</v>
      </c>
      <c r="E10" s="13" t="s">
        <v>9</v>
      </c>
      <c r="F10" s="13" t="s">
        <v>10</v>
      </c>
      <c r="G10" s="35" t="s">
        <v>11</v>
      </c>
      <c r="H10" s="35" t="s">
        <v>0</v>
      </c>
      <c r="I10" s="35" t="s">
        <v>1</v>
      </c>
      <c r="J10" s="35" t="s">
        <v>2</v>
      </c>
      <c r="K10" s="35" t="s">
        <v>11</v>
      </c>
      <c r="L10" s="13" t="s">
        <v>14</v>
      </c>
      <c r="M10" s="13" t="s">
        <v>21</v>
      </c>
      <c r="N10" s="13" t="s">
        <v>14</v>
      </c>
      <c r="O10" s="13" t="s">
        <v>21</v>
      </c>
      <c r="P10" s="14" t="s">
        <v>16</v>
      </c>
      <c r="Q10" s="13" t="s">
        <v>19</v>
      </c>
      <c r="R10" s="13" t="s">
        <v>20</v>
      </c>
      <c r="S10" s="14"/>
      <c r="V10" s="11" t="s">
        <v>14</v>
      </c>
      <c r="W10" s="11" t="s">
        <v>21</v>
      </c>
      <c r="AB10" s="11" t="s">
        <v>55</v>
      </c>
      <c r="AC10" s="11" t="s">
        <v>55</v>
      </c>
    </row>
    <row r="11" spans="1:29" x14ac:dyDescent="0.35">
      <c r="A11" s="3">
        <v>1</v>
      </c>
      <c r="B11" s="82" t="s">
        <v>5</v>
      </c>
      <c r="C11" s="82"/>
      <c r="D11" s="82"/>
      <c r="E11" s="82"/>
      <c r="F11" s="82"/>
      <c r="G11" s="83"/>
      <c r="H11" s="83"/>
      <c r="I11" s="83"/>
      <c r="J11" s="83"/>
      <c r="K11" s="83"/>
      <c r="L11" s="82"/>
      <c r="M11" s="82"/>
      <c r="N11" s="82"/>
      <c r="O11" s="82"/>
      <c r="P11" s="7" t="s">
        <v>67</v>
      </c>
      <c r="Q11" s="7"/>
      <c r="R11" s="7"/>
      <c r="S11" s="7"/>
      <c r="AB11" t="e">
        <f>CONCATENATE(#REF!,B11)</f>
        <v>#REF!</v>
      </c>
      <c r="AC11" t="str">
        <f>IF(L11="","",L11/M11)</f>
        <v/>
      </c>
    </row>
    <row r="12" spans="1:29" x14ac:dyDescent="0.35">
      <c r="A12" s="3">
        <v>2</v>
      </c>
      <c r="B12" s="82" t="s">
        <v>25</v>
      </c>
      <c r="C12" s="82"/>
      <c r="D12" s="82"/>
      <c r="E12" s="82"/>
      <c r="F12" s="82"/>
      <c r="G12" s="83"/>
      <c r="H12" s="83"/>
      <c r="I12" s="83"/>
      <c r="J12" s="83"/>
      <c r="K12" s="83"/>
      <c r="L12" s="82"/>
      <c r="M12" s="82"/>
      <c r="N12" s="82"/>
      <c r="O12" s="82"/>
      <c r="P12" s="7" t="s">
        <v>68</v>
      </c>
      <c r="Q12" s="7"/>
      <c r="R12" s="7"/>
      <c r="S12" s="7"/>
      <c r="AB12" t="e">
        <f>CONCATENATE(#REF!,B12)</f>
        <v>#REF!</v>
      </c>
      <c r="AC12" t="str">
        <f t="shared" ref="AC12:AC20" si="0">IF(L12="","",L12/M12)</f>
        <v/>
      </c>
    </row>
    <row r="13" spans="1:29" x14ac:dyDescent="0.35">
      <c r="A13" s="3">
        <v>3</v>
      </c>
      <c r="B13" s="82" t="s">
        <v>26</v>
      </c>
      <c r="C13" s="82"/>
      <c r="D13" s="82"/>
      <c r="E13" s="82"/>
      <c r="F13" s="82"/>
      <c r="G13" s="83"/>
      <c r="H13" s="83"/>
      <c r="I13" s="83"/>
      <c r="J13" s="83"/>
      <c r="K13" s="83"/>
      <c r="L13" s="82"/>
      <c r="M13" s="82"/>
      <c r="N13" s="82"/>
      <c r="O13" s="82"/>
      <c r="P13" s="7" t="s">
        <v>68</v>
      </c>
      <c r="Q13" s="7"/>
      <c r="R13" s="7"/>
      <c r="S13" s="7"/>
      <c r="AB13" t="e">
        <f>CONCATENATE(#REF!,B13)</f>
        <v>#REF!</v>
      </c>
      <c r="AC13" t="str">
        <f t="shared" si="0"/>
        <v/>
      </c>
    </row>
    <row r="14" spans="1:29" x14ac:dyDescent="0.35">
      <c r="A14" s="3">
        <v>4</v>
      </c>
      <c r="B14" s="82" t="s">
        <v>27</v>
      </c>
      <c r="C14" s="82"/>
      <c r="D14" s="82"/>
      <c r="E14" s="82"/>
      <c r="F14" s="82"/>
      <c r="G14" s="83"/>
      <c r="H14" s="83"/>
      <c r="I14" s="83"/>
      <c r="J14" s="83"/>
      <c r="K14" s="83"/>
      <c r="L14" s="82"/>
      <c r="M14" s="82"/>
      <c r="N14" s="82"/>
      <c r="O14" s="82"/>
      <c r="P14" s="7" t="s">
        <v>69</v>
      </c>
      <c r="Q14" s="7"/>
      <c r="R14" s="7"/>
      <c r="S14" s="7"/>
      <c r="AB14" t="e">
        <f>CONCATENATE(#REF!,B14)</f>
        <v>#REF!</v>
      </c>
      <c r="AC14" t="str">
        <f t="shared" si="0"/>
        <v/>
      </c>
    </row>
    <row r="15" spans="1:29" x14ac:dyDescent="0.35">
      <c r="A15" s="3">
        <v>5</v>
      </c>
      <c r="B15" s="82" t="s">
        <v>28</v>
      </c>
      <c r="C15" s="82"/>
      <c r="D15" s="82"/>
      <c r="E15" s="82"/>
      <c r="F15" s="82"/>
      <c r="G15" s="83"/>
      <c r="H15" s="83"/>
      <c r="I15" s="83"/>
      <c r="J15" s="83"/>
      <c r="K15" s="83"/>
      <c r="L15" s="82"/>
      <c r="M15" s="82"/>
      <c r="N15" s="82"/>
      <c r="O15" s="82"/>
      <c r="P15" s="7" t="s">
        <v>70</v>
      </c>
      <c r="Q15" s="7"/>
      <c r="R15" s="7"/>
      <c r="S15" s="7"/>
      <c r="AB15" t="e">
        <f>CONCATENATE(#REF!,B15)</f>
        <v>#REF!</v>
      </c>
      <c r="AC15" t="str">
        <f t="shared" si="0"/>
        <v/>
      </c>
    </row>
    <row r="16" spans="1:29" x14ac:dyDescent="0.35">
      <c r="A16" s="3">
        <v>6</v>
      </c>
      <c r="B16" s="82" t="s">
        <v>29</v>
      </c>
      <c r="C16" s="82"/>
      <c r="D16" s="82"/>
      <c r="E16" s="82"/>
      <c r="F16" s="82"/>
      <c r="G16" s="83"/>
      <c r="H16" s="83"/>
      <c r="I16" s="83"/>
      <c r="J16" s="83"/>
      <c r="K16" s="83"/>
      <c r="L16" s="82"/>
      <c r="M16" s="82"/>
      <c r="N16" s="82"/>
      <c r="O16" s="82"/>
      <c r="P16" s="7" t="s">
        <v>70</v>
      </c>
      <c r="Q16" s="7"/>
      <c r="R16" s="7"/>
      <c r="S16" s="7"/>
      <c r="AB16" t="e">
        <f>CONCATENATE(#REF!,B16)</f>
        <v>#REF!</v>
      </c>
      <c r="AC16" t="str">
        <f t="shared" si="0"/>
        <v/>
      </c>
    </row>
    <row r="17" spans="1:29" x14ac:dyDescent="0.35">
      <c r="A17" s="3">
        <v>7</v>
      </c>
      <c r="B17" s="82" t="s">
        <v>30</v>
      </c>
      <c r="C17" s="82"/>
      <c r="D17" s="82"/>
      <c r="E17" s="82"/>
      <c r="F17" s="82"/>
      <c r="G17" s="83"/>
      <c r="H17" s="83"/>
      <c r="I17" s="83"/>
      <c r="J17" s="83"/>
      <c r="K17" s="83"/>
      <c r="L17" s="82"/>
      <c r="M17" s="82"/>
      <c r="N17" s="82"/>
      <c r="O17" s="82"/>
      <c r="P17" s="7" t="s">
        <v>71</v>
      </c>
      <c r="Q17" s="7"/>
      <c r="R17" s="7"/>
      <c r="S17" s="7"/>
      <c r="AB17" t="e">
        <f>CONCATENATE(#REF!,B17)</f>
        <v>#REF!</v>
      </c>
      <c r="AC17" t="str">
        <f t="shared" si="0"/>
        <v/>
      </c>
    </row>
    <row r="18" spans="1:29" x14ac:dyDescent="0.35">
      <c r="A18" s="3">
        <v>8</v>
      </c>
      <c r="B18" s="82" t="s">
        <v>31</v>
      </c>
      <c r="C18" s="82"/>
      <c r="D18" s="82"/>
      <c r="E18" s="82"/>
      <c r="F18" s="82"/>
      <c r="G18" s="83"/>
      <c r="H18" s="83"/>
      <c r="I18" s="83"/>
      <c r="J18" s="83"/>
      <c r="K18" s="83"/>
      <c r="L18" s="82"/>
      <c r="M18" s="82"/>
      <c r="N18" s="82"/>
      <c r="O18" s="82"/>
      <c r="P18" s="7" t="s">
        <v>72</v>
      </c>
      <c r="Q18" s="7"/>
      <c r="R18" s="7"/>
      <c r="S18" s="7"/>
      <c r="AB18" t="e">
        <f>CONCATENATE(#REF!,B18)</f>
        <v>#REF!</v>
      </c>
      <c r="AC18" t="str">
        <f t="shared" si="0"/>
        <v/>
      </c>
    </row>
    <row r="19" spans="1:29" x14ac:dyDescent="0.35">
      <c r="A19" s="3">
        <v>9</v>
      </c>
      <c r="B19" s="82" t="s">
        <v>32</v>
      </c>
      <c r="C19" s="82"/>
      <c r="D19" s="82"/>
      <c r="E19" s="82"/>
      <c r="F19" s="82"/>
      <c r="G19" s="83"/>
      <c r="H19" s="83"/>
      <c r="I19" s="83"/>
      <c r="J19" s="83"/>
      <c r="K19" s="83"/>
      <c r="L19" s="82"/>
      <c r="M19" s="82"/>
      <c r="N19" s="82"/>
      <c r="O19" s="82"/>
      <c r="P19" s="7"/>
      <c r="Q19" s="7" t="s">
        <v>94</v>
      </c>
      <c r="R19" s="7"/>
      <c r="S19" s="7"/>
      <c r="AB19" t="e">
        <f>CONCATENATE(#REF!,B19)</f>
        <v>#REF!</v>
      </c>
      <c r="AC19" t="str">
        <f t="shared" si="0"/>
        <v/>
      </c>
    </row>
    <row r="20" spans="1:29" x14ac:dyDescent="0.35">
      <c r="A20" s="3">
        <v>10</v>
      </c>
      <c r="B20" s="82" t="s">
        <v>33</v>
      </c>
      <c r="C20" s="82"/>
      <c r="D20" s="82"/>
      <c r="E20" s="82"/>
      <c r="F20" s="82"/>
      <c r="G20" s="83"/>
      <c r="H20" s="83"/>
      <c r="I20" s="83"/>
      <c r="J20" s="83"/>
      <c r="K20" s="83"/>
      <c r="L20" s="82"/>
      <c r="M20" s="82"/>
      <c r="N20" s="82"/>
      <c r="O20" s="82"/>
      <c r="P20" s="7" t="s">
        <v>72</v>
      </c>
      <c r="Q20" s="7"/>
      <c r="R20" s="7"/>
      <c r="S20" s="7"/>
      <c r="AB20" t="e">
        <f>CONCATENATE(#REF!,B20)</f>
        <v>#REF!</v>
      </c>
      <c r="AC20" t="str">
        <f t="shared" si="0"/>
        <v/>
      </c>
    </row>
    <row r="21" spans="1:29" x14ac:dyDescent="0.35">
      <c r="A21" s="3">
        <v>11</v>
      </c>
      <c r="B21" s="84" t="s">
        <v>96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7"/>
      <c r="Q21" s="7"/>
      <c r="R21" s="7"/>
      <c r="S21" s="7"/>
      <c r="AB21" t="e">
        <f>CONCATENATE(#REF!,B22)</f>
        <v>#REF!</v>
      </c>
      <c r="AC21" t="str">
        <f t="shared" ref="AC21:AC37" si="1">IF(L22="","",L22/M22)</f>
        <v/>
      </c>
    </row>
    <row r="22" spans="1:29" x14ac:dyDescent="0.35">
      <c r="A22" s="3">
        <v>12</v>
      </c>
      <c r="B22" s="82" t="s">
        <v>34</v>
      </c>
      <c r="C22" s="82"/>
      <c r="D22" s="82"/>
      <c r="E22" s="82"/>
      <c r="F22" s="82"/>
      <c r="G22" s="83"/>
      <c r="H22" s="83"/>
      <c r="I22" s="83"/>
      <c r="J22" s="83"/>
      <c r="K22" s="83"/>
      <c r="L22" s="82"/>
      <c r="M22" s="82"/>
      <c r="N22" s="82"/>
      <c r="O22" s="82"/>
      <c r="P22" s="7" t="s">
        <v>73</v>
      </c>
      <c r="Q22" s="7"/>
      <c r="R22" s="7"/>
      <c r="S22" s="7"/>
      <c r="AB22" t="e">
        <f>CONCATENATE(#REF!,B23)</f>
        <v>#REF!</v>
      </c>
      <c r="AC22">
        <f t="shared" si="1"/>
        <v>368.69978632478632</v>
      </c>
    </row>
    <row r="23" spans="1:29" x14ac:dyDescent="0.35">
      <c r="A23" s="3">
        <v>13</v>
      </c>
      <c r="B23" s="82" t="s">
        <v>35</v>
      </c>
      <c r="C23" s="97">
        <v>976.5</v>
      </c>
      <c r="D23" s="97">
        <v>0</v>
      </c>
      <c r="E23" s="97">
        <v>60</v>
      </c>
      <c r="F23" s="97">
        <v>0</v>
      </c>
      <c r="G23" s="97">
        <f>C23+E23-F23</f>
        <v>1036.5</v>
      </c>
      <c r="H23" s="97">
        <f>395.5+60</f>
        <v>455.5</v>
      </c>
      <c r="I23" s="97">
        <v>368.7</v>
      </c>
      <c r="J23" s="97">
        <f>172.3+40</f>
        <v>212.3</v>
      </c>
      <c r="K23" s="97">
        <f>SUM(H23:J23)</f>
        <v>1036.5</v>
      </c>
      <c r="L23" s="97">
        <v>345103</v>
      </c>
      <c r="M23" s="97">
        <v>936</v>
      </c>
      <c r="N23" s="97">
        <f>O23*I23</f>
        <v>497980.96799999999</v>
      </c>
      <c r="O23" s="97">
        <v>1350.64</v>
      </c>
      <c r="P23" s="7" t="s">
        <v>74</v>
      </c>
      <c r="Q23" s="21">
        <f>2988+100</f>
        <v>3088</v>
      </c>
      <c r="R23" s="7"/>
      <c r="S23" s="7"/>
      <c r="V23" s="34">
        <v>109135.2</v>
      </c>
      <c r="W23">
        <v>296</v>
      </c>
      <c r="AB23" t="e">
        <f>CONCATENATE(#REF!,B24)</f>
        <v>#REF!</v>
      </c>
      <c r="AC23">
        <f t="shared" si="1"/>
        <v>336.99999999999994</v>
      </c>
    </row>
    <row r="24" spans="1:29" x14ac:dyDescent="0.35">
      <c r="A24" s="3">
        <v>14</v>
      </c>
      <c r="B24" s="82" t="s">
        <v>36</v>
      </c>
      <c r="C24" s="97">
        <v>338</v>
      </c>
      <c r="D24" s="97">
        <v>0</v>
      </c>
      <c r="E24" s="97">
        <v>0</v>
      </c>
      <c r="F24" s="97">
        <v>0</v>
      </c>
      <c r="G24" s="97">
        <f>C24+E24-F24</f>
        <v>338</v>
      </c>
      <c r="H24" s="97">
        <v>0</v>
      </c>
      <c r="I24" s="97">
        <f>339-2</f>
        <v>337</v>
      </c>
      <c r="J24" s="97">
        <f>1</f>
        <v>1</v>
      </c>
      <c r="K24" s="97">
        <f>SUM(H24:J24)</f>
        <v>338</v>
      </c>
      <c r="L24" s="95">
        <v>3088729.69</v>
      </c>
      <c r="M24" s="97">
        <v>9165.3700000000008</v>
      </c>
      <c r="N24" s="97">
        <f>O24*I24</f>
        <v>3216772.84</v>
      </c>
      <c r="O24" s="97">
        <v>9545.32</v>
      </c>
      <c r="P24" s="7" t="s">
        <v>75</v>
      </c>
      <c r="Q24" s="21">
        <f>1428-800</f>
        <v>628</v>
      </c>
      <c r="R24" s="7"/>
      <c r="S24" s="7"/>
      <c r="V24">
        <v>759261</v>
      </c>
      <c r="W24">
        <v>2253</v>
      </c>
      <c r="AB24" t="e">
        <f>CONCATENATE(#REF!,B25)</f>
        <v>#REF!</v>
      </c>
      <c r="AC24" t="str">
        <f t="shared" si="1"/>
        <v/>
      </c>
    </row>
    <row r="25" spans="1:29" x14ac:dyDescent="0.35">
      <c r="A25" s="3">
        <v>15</v>
      </c>
      <c r="B25" s="82" t="s">
        <v>37</v>
      </c>
      <c r="C25" s="82"/>
      <c r="D25" s="82"/>
      <c r="E25" s="82"/>
      <c r="F25" s="82"/>
      <c r="G25" s="83"/>
      <c r="H25" s="83"/>
      <c r="I25" s="83"/>
      <c r="J25" s="83"/>
      <c r="K25" s="83"/>
      <c r="L25" s="82"/>
      <c r="M25" s="82"/>
      <c r="N25" s="82"/>
      <c r="O25" s="82"/>
      <c r="P25" s="7" t="s">
        <v>74</v>
      </c>
      <c r="Q25" s="7"/>
      <c r="R25" s="7"/>
      <c r="S25" s="7"/>
      <c r="AB25" t="e">
        <f>CONCATENATE(#REF!,B26)</f>
        <v>#REF!</v>
      </c>
      <c r="AC25" t="str">
        <f t="shared" si="1"/>
        <v/>
      </c>
    </row>
    <row r="26" spans="1:29" x14ac:dyDescent="0.35">
      <c r="A26" s="3">
        <v>16</v>
      </c>
      <c r="B26" s="82" t="s">
        <v>38</v>
      </c>
      <c r="C26" s="82"/>
      <c r="D26" s="82"/>
      <c r="E26" s="82"/>
      <c r="F26" s="82"/>
      <c r="G26" s="83"/>
      <c r="H26" s="83"/>
      <c r="I26" s="83"/>
      <c r="J26" s="83"/>
      <c r="K26" s="83"/>
      <c r="L26" s="82"/>
      <c r="M26" s="82"/>
      <c r="N26" s="82"/>
      <c r="O26" s="82"/>
      <c r="P26" s="7" t="s">
        <v>76</v>
      </c>
      <c r="Q26" s="7"/>
      <c r="R26" s="7"/>
      <c r="S26" s="7"/>
      <c r="AB26" t="e">
        <f>CONCATENATE(#REF!,B27)</f>
        <v>#REF!</v>
      </c>
      <c r="AC26" t="str">
        <f t="shared" si="1"/>
        <v/>
      </c>
    </row>
    <row r="27" spans="1:29" x14ac:dyDescent="0.35">
      <c r="A27" s="3">
        <v>17</v>
      </c>
      <c r="B27" s="82" t="s">
        <v>39</v>
      </c>
      <c r="C27" s="82"/>
      <c r="D27" s="82"/>
      <c r="E27" s="82"/>
      <c r="F27" s="82"/>
      <c r="G27" s="83"/>
      <c r="H27" s="83"/>
      <c r="I27" s="83"/>
      <c r="J27" s="83"/>
      <c r="K27" s="83"/>
      <c r="L27" s="82"/>
      <c r="M27" s="82"/>
      <c r="N27" s="82"/>
      <c r="O27" s="82"/>
      <c r="P27" s="7" t="s">
        <v>77</v>
      </c>
      <c r="Q27" s="7"/>
      <c r="R27" s="7"/>
      <c r="S27" s="7"/>
      <c r="AB27" t="e">
        <f>CONCATENATE(#REF!,B28)</f>
        <v>#REF!</v>
      </c>
      <c r="AC27" t="str">
        <f t="shared" si="1"/>
        <v/>
      </c>
    </row>
    <row r="28" spans="1:29" x14ac:dyDescent="0.35">
      <c r="A28" s="3">
        <v>18</v>
      </c>
      <c r="B28" s="82" t="s">
        <v>40</v>
      </c>
      <c r="C28" s="82"/>
      <c r="D28" s="82"/>
      <c r="E28" s="82"/>
      <c r="F28" s="82"/>
      <c r="G28" s="83"/>
      <c r="H28" s="83"/>
      <c r="I28" s="83"/>
      <c r="J28" s="83"/>
      <c r="K28" s="83"/>
      <c r="L28" s="82"/>
      <c r="M28" s="82"/>
      <c r="N28" s="82"/>
      <c r="O28" s="82"/>
      <c r="P28" s="7" t="s">
        <v>78</v>
      </c>
      <c r="Q28" s="7"/>
      <c r="R28" s="7"/>
      <c r="S28" s="7"/>
      <c r="AB28" t="e">
        <f>CONCATENATE(#REF!,B29)</f>
        <v>#REF!</v>
      </c>
      <c r="AC28" t="str">
        <f t="shared" si="1"/>
        <v/>
      </c>
    </row>
    <row r="29" spans="1:29" x14ac:dyDescent="0.35">
      <c r="A29" s="3">
        <v>19</v>
      </c>
      <c r="B29" s="82" t="s">
        <v>41</v>
      </c>
      <c r="C29" s="82"/>
      <c r="D29" s="82"/>
      <c r="E29" s="82"/>
      <c r="F29" s="82"/>
      <c r="G29" s="83"/>
      <c r="H29" s="83"/>
      <c r="I29" s="83"/>
      <c r="J29" s="83"/>
      <c r="K29" s="83"/>
      <c r="L29" s="82"/>
      <c r="M29" s="82"/>
      <c r="N29" s="82"/>
      <c r="O29" s="82"/>
      <c r="P29" s="7" t="s">
        <v>79</v>
      </c>
      <c r="Q29" s="7"/>
      <c r="R29" s="7"/>
      <c r="S29" s="7"/>
      <c r="AB29" t="e">
        <f>CONCATENATE(#REF!,B30)</f>
        <v>#REF!</v>
      </c>
      <c r="AC29" t="str">
        <f t="shared" si="1"/>
        <v/>
      </c>
    </row>
    <row r="30" spans="1:29" x14ac:dyDescent="0.35">
      <c r="A30" s="3">
        <v>20</v>
      </c>
      <c r="B30" s="82" t="s">
        <v>42</v>
      </c>
      <c r="C30" s="82"/>
      <c r="D30" s="82"/>
      <c r="E30" s="82"/>
      <c r="F30" s="82"/>
      <c r="G30" s="83"/>
      <c r="H30" s="83"/>
      <c r="I30" s="83"/>
      <c r="J30" s="83"/>
      <c r="K30" s="83"/>
      <c r="L30" s="82"/>
      <c r="M30" s="82"/>
      <c r="N30" s="82"/>
      <c r="O30" s="82"/>
      <c r="P30" s="7" t="s">
        <v>80</v>
      </c>
      <c r="Q30" s="7"/>
      <c r="R30" s="7"/>
      <c r="S30" s="7"/>
      <c r="AB30" t="e">
        <f>CONCATENATE(#REF!,B31)</f>
        <v>#REF!</v>
      </c>
      <c r="AC30" t="str">
        <f t="shared" si="1"/>
        <v/>
      </c>
    </row>
    <row r="31" spans="1:29" x14ac:dyDescent="0.35">
      <c r="A31" s="3">
        <v>21</v>
      </c>
      <c r="B31" s="82" t="s">
        <v>43</v>
      </c>
      <c r="C31" s="82"/>
      <c r="D31" s="82"/>
      <c r="E31" s="82"/>
      <c r="F31" s="82"/>
      <c r="G31" s="83"/>
      <c r="H31" s="83"/>
      <c r="I31" s="83"/>
      <c r="J31" s="83"/>
      <c r="K31" s="83"/>
      <c r="L31" s="82"/>
      <c r="M31" s="82"/>
      <c r="N31" s="82"/>
      <c r="O31" s="82"/>
      <c r="P31" s="7" t="s">
        <v>69</v>
      </c>
      <c r="Q31" s="7"/>
      <c r="R31" s="7"/>
      <c r="S31" s="7"/>
      <c r="AB31" t="e">
        <f>CONCATENATE(#REF!,B32)</f>
        <v>#REF!</v>
      </c>
      <c r="AC31" t="str">
        <f t="shared" si="1"/>
        <v/>
      </c>
    </row>
    <row r="32" spans="1:29" x14ac:dyDescent="0.35">
      <c r="A32" s="3">
        <v>22</v>
      </c>
      <c r="B32" s="82" t="s">
        <v>44</v>
      </c>
      <c r="C32" s="82"/>
      <c r="D32" s="82"/>
      <c r="E32" s="82"/>
      <c r="F32" s="82"/>
      <c r="G32" s="83"/>
      <c r="H32" s="83"/>
      <c r="I32" s="83"/>
      <c r="J32" s="83"/>
      <c r="K32" s="83"/>
      <c r="L32" s="82"/>
      <c r="M32" s="82"/>
      <c r="N32" s="82"/>
      <c r="O32" s="82"/>
      <c r="P32" s="7" t="s">
        <v>81</v>
      </c>
      <c r="Q32" s="7"/>
      <c r="R32" s="7"/>
      <c r="S32" s="7"/>
      <c r="AB32" t="e">
        <f>CONCATENATE(#REF!,B33)</f>
        <v>#REF!</v>
      </c>
      <c r="AC32" t="str">
        <f t="shared" si="1"/>
        <v/>
      </c>
    </row>
    <row r="33" spans="1:29" x14ac:dyDescent="0.35">
      <c r="A33" s="3">
        <v>23</v>
      </c>
      <c r="B33" s="82" t="s">
        <v>45</v>
      </c>
      <c r="C33" s="82"/>
      <c r="D33" s="82"/>
      <c r="E33" s="82"/>
      <c r="F33" s="82"/>
      <c r="G33" s="83"/>
      <c r="H33" s="83"/>
      <c r="I33" s="83"/>
      <c r="J33" s="83"/>
      <c r="K33" s="83"/>
      <c r="L33" s="82"/>
      <c r="M33" s="82"/>
      <c r="N33" s="82"/>
      <c r="O33" s="82"/>
      <c r="P33" s="7" t="s">
        <v>81</v>
      </c>
      <c r="Q33" s="7"/>
      <c r="R33" s="7"/>
      <c r="S33" s="7"/>
      <c r="AB33" t="e">
        <f>CONCATENATE(#REF!,B34)</f>
        <v>#REF!</v>
      </c>
      <c r="AC33" t="str">
        <f t="shared" si="1"/>
        <v/>
      </c>
    </row>
    <row r="34" spans="1:29" x14ac:dyDescent="0.35">
      <c r="A34" s="3">
        <v>24</v>
      </c>
      <c r="B34" s="82" t="s">
        <v>46</v>
      </c>
      <c r="C34" s="82"/>
      <c r="D34" s="82"/>
      <c r="E34" s="82"/>
      <c r="F34" s="82"/>
      <c r="G34" s="83"/>
      <c r="H34" s="83"/>
      <c r="I34" s="83"/>
      <c r="J34" s="83"/>
      <c r="K34" s="83"/>
      <c r="L34" s="82"/>
      <c r="M34" s="82"/>
      <c r="N34" s="82"/>
      <c r="O34" s="82"/>
      <c r="P34" s="7" t="s">
        <v>72</v>
      </c>
      <c r="Q34" s="7"/>
      <c r="R34" s="7"/>
      <c r="S34" s="7"/>
      <c r="AB34" t="e">
        <f>CONCATENATE(#REF!,B35)</f>
        <v>#REF!</v>
      </c>
      <c r="AC34" t="str">
        <f t="shared" si="1"/>
        <v/>
      </c>
    </row>
    <row r="35" spans="1:29" x14ac:dyDescent="0.35">
      <c r="A35" s="3">
        <v>25</v>
      </c>
      <c r="B35" s="82" t="s">
        <v>47</v>
      </c>
      <c r="C35" s="82"/>
      <c r="D35" s="82"/>
      <c r="E35" s="82"/>
      <c r="F35" s="82"/>
      <c r="G35" s="83"/>
      <c r="H35" s="83"/>
      <c r="I35" s="83"/>
      <c r="J35" s="83"/>
      <c r="K35" s="83"/>
      <c r="L35" s="82"/>
      <c r="M35" s="82"/>
      <c r="N35" s="82"/>
      <c r="O35" s="82"/>
      <c r="P35" s="7" t="s">
        <v>75</v>
      </c>
      <c r="Q35" s="7"/>
      <c r="R35" s="7"/>
      <c r="S35" s="7"/>
      <c r="AB35" t="e">
        <f>CONCATENATE(#REF!,B36)</f>
        <v>#REF!</v>
      </c>
      <c r="AC35" t="str">
        <f t="shared" si="1"/>
        <v/>
      </c>
    </row>
    <row r="36" spans="1:29" x14ac:dyDescent="0.35">
      <c r="A36" s="3">
        <v>26</v>
      </c>
      <c r="B36" s="82" t="s">
        <v>48</v>
      </c>
      <c r="C36" s="82"/>
      <c r="D36" s="82"/>
      <c r="E36" s="82"/>
      <c r="F36" s="82"/>
      <c r="G36" s="83"/>
      <c r="H36" s="83"/>
      <c r="I36" s="83"/>
      <c r="J36" s="83"/>
      <c r="K36" s="83"/>
      <c r="L36" s="82"/>
      <c r="M36" s="82"/>
      <c r="N36" s="82"/>
      <c r="O36" s="82"/>
      <c r="P36" s="7" t="s">
        <v>72</v>
      </c>
      <c r="Q36" s="7"/>
      <c r="R36" s="7"/>
      <c r="S36" s="7"/>
      <c r="AB36" t="e">
        <f>CONCATENATE(#REF!,B37)</f>
        <v>#REF!</v>
      </c>
      <c r="AC36" t="str">
        <f t="shared" si="1"/>
        <v/>
      </c>
    </row>
    <row r="37" spans="1:29" x14ac:dyDescent="0.35">
      <c r="A37" s="3">
        <v>27</v>
      </c>
      <c r="B37" s="82" t="s">
        <v>49</v>
      </c>
      <c r="C37" s="82"/>
      <c r="D37" s="82"/>
      <c r="E37" s="82"/>
      <c r="F37" s="82"/>
      <c r="G37" s="83"/>
      <c r="H37" s="83"/>
      <c r="I37" s="83"/>
      <c r="J37" s="83"/>
      <c r="K37" s="83"/>
      <c r="L37" s="82"/>
      <c r="M37" s="82"/>
      <c r="N37" s="82"/>
      <c r="O37" s="82"/>
      <c r="P37" s="7" t="s">
        <v>84</v>
      </c>
      <c r="Q37" s="7"/>
      <c r="R37" s="7"/>
      <c r="S37" s="7"/>
      <c r="AB37" t="e">
        <f>CONCATENATE(#REF!,B38)</f>
        <v>#REF!</v>
      </c>
      <c r="AC37" t="str">
        <f t="shared" si="1"/>
        <v/>
      </c>
    </row>
    <row r="38" spans="1:29" x14ac:dyDescent="0.35">
      <c r="A38" s="3">
        <v>28</v>
      </c>
      <c r="B38" s="82" t="s">
        <v>50</v>
      </c>
      <c r="C38" s="82"/>
      <c r="D38" s="82"/>
      <c r="E38" s="82"/>
      <c r="F38" s="82"/>
      <c r="G38" s="83"/>
      <c r="H38" s="83"/>
      <c r="I38" s="83"/>
      <c r="J38" s="83"/>
      <c r="K38" s="83"/>
      <c r="L38" s="82"/>
      <c r="M38" s="82"/>
      <c r="N38" s="82"/>
      <c r="O38" s="82"/>
      <c r="P38" s="7" t="s">
        <v>77</v>
      </c>
      <c r="Q38" s="7"/>
      <c r="R38" s="7"/>
      <c r="S38" s="7"/>
      <c r="AB38" t="e">
        <f>CONCATENATE(#REF!,#REF!)</f>
        <v>#REF!</v>
      </c>
    </row>
    <row r="39" spans="1:29" x14ac:dyDescent="0.35">
      <c r="A39" s="3">
        <v>29</v>
      </c>
      <c r="B39" s="82" t="s">
        <v>51</v>
      </c>
      <c r="C39" s="82"/>
      <c r="D39" s="82"/>
      <c r="E39" s="82"/>
      <c r="F39" s="82"/>
      <c r="G39" s="83"/>
      <c r="H39" s="83"/>
      <c r="I39" s="83"/>
      <c r="J39" s="83"/>
      <c r="K39" s="83"/>
      <c r="L39" s="82"/>
      <c r="M39" s="82"/>
      <c r="N39" s="82"/>
      <c r="O39" s="82"/>
      <c r="P39" s="7"/>
      <c r="Q39" s="7"/>
      <c r="R39" s="7"/>
      <c r="S39" s="7"/>
      <c r="AB39" t="e">
        <f>CONCATENATE(#REF!,B40)</f>
        <v>#REF!</v>
      </c>
      <c r="AC39" t="str">
        <f>IF(L40="","",L40/M40)</f>
        <v/>
      </c>
    </row>
    <row r="40" spans="1:29" x14ac:dyDescent="0.35">
      <c r="A40" s="3">
        <v>30</v>
      </c>
      <c r="B40" s="82" t="s">
        <v>52</v>
      </c>
      <c r="C40" s="82"/>
      <c r="D40" s="82"/>
      <c r="E40" s="82"/>
      <c r="F40" s="82"/>
      <c r="G40" s="83"/>
      <c r="H40" s="83"/>
      <c r="I40" s="83"/>
      <c r="J40" s="83"/>
      <c r="K40" s="83"/>
      <c r="L40" s="82"/>
      <c r="M40" s="82"/>
      <c r="N40" s="82"/>
      <c r="O40" s="82"/>
      <c r="P40" s="7" t="s">
        <v>83</v>
      </c>
      <c r="Q40" s="7"/>
      <c r="R40" s="7"/>
      <c r="S40" s="7"/>
    </row>
    <row r="42" spans="1:29" x14ac:dyDescent="0.35">
      <c r="P42" s="263" t="s">
        <v>110</v>
      </c>
      <c r="Q42" s="263"/>
      <c r="R42" s="263"/>
    </row>
    <row r="43" spans="1:29" x14ac:dyDescent="0.35">
      <c r="P43" s="68"/>
      <c r="Q43" s="68"/>
      <c r="R43" s="68"/>
    </row>
    <row r="44" spans="1:29" x14ac:dyDescent="0.35">
      <c r="P44" s="68"/>
      <c r="Q44" s="68"/>
      <c r="R44" s="68"/>
    </row>
    <row r="45" spans="1:29" x14ac:dyDescent="0.35">
      <c r="P45" s="310" t="s">
        <v>151</v>
      </c>
      <c r="Q45" s="310"/>
      <c r="R45" s="310"/>
    </row>
    <row r="46" spans="1:29" x14ac:dyDescent="0.35">
      <c r="P46" s="263" t="s">
        <v>152</v>
      </c>
      <c r="Q46" s="263"/>
      <c r="R46" s="263"/>
    </row>
  </sheetData>
  <mergeCells count="14">
    <mergeCell ref="P42:R42"/>
    <mergeCell ref="P45:R45"/>
    <mergeCell ref="P46:R46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7" right="0.45" top="0.25" bottom="0.75" header="0.3" footer="0.3"/>
  <pageSetup paperSize="5" scale="75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AD47"/>
  <sheetViews>
    <sheetView zoomScale="70" zoomScaleNormal="70" workbookViewId="0">
      <selection activeCell="O42" sqref="O42:R46"/>
    </sheetView>
  </sheetViews>
  <sheetFormatPr defaultRowHeight="14.5" x14ac:dyDescent="0.35"/>
  <cols>
    <col min="1" max="1" width="6.1796875" customWidth="1"/>
    <col min="2" max="2" width="19.81640625" customWidth="1"/>
    <col min="3" max="3" width="13.26953125" customWidth="1"/>
    <col min="4" max="4" width="10" customWidth="1"/>
    <col min="5" max="5" width="11.453125" customWidth="1"/>
    <col min="6" max="6" width="12.81640625" bestFit="1" customWidth="1"/>
    <col min="7" max="9" width="9.453125" style="32" bestFit="1" customWidth="1"/>
    <col min="10" max="10" width="10.1796875" style="32" customWidth="1"/>
    <col min="11" max="11" width="9.453125" style="32" bestFit="1" customWidth="1"/>
    <col min="12" max="12" width="12.453125" bestFit="1" customWidth="1"/>
    <col min="13" max="13" width="10.7265625" bestFit="1" customWidth="1"/>
    <col min="14" max="14" width="12.453125" bestFit="1" customWidth="1"/>
    <col min="15" max="15" width="13.1796875" customWidth="1"/>
    <col min="16" max="16" width="18" customWidth="1"/>
    <col min="17" max="17" width="11.81640625" customWidth="1"/>
    <col min="18" max="18" width="8.453125" customWidth="1"/>
    <col min="19" max="19" width="6.26953125" customWidth="1"/>
    <col min="29" max="30" width="9.1796875" hidden="1" customWidth="1"/>
  </cols>
  <sheetData>
    <row r="1" spans="1:30" x14ac:dyDescent="0.35">
      <c r="A1" s="1" t="s">
        <v>57</v>
      </c>
      <c r="G1" s="30"/>
      <c r="H1" s="30"/>
      <c r="I1" s="30"/>
      <c r="J1" s="30"/>
      <c r="K1" s="30"/>
    </row>
    <row r="2" spans="1:30" x14ac:dyDescent="0.35">
      <c r="A2" s="2"/>
      <c r="G2" s="30"/>
      <c r="H2" s="30"/>
      <c r="I2" s="30"/>
      <c r="J2" s="30"/>
      <c r="K2" s="30"/>
    </row>
    <row r="3" spans="1:30" ht="30" customHeight="1" x14ac:dyDescent="0.35">
      <c r="A3" s="309" t="s">
        <v>58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</row>
    <row r="4" spans="1:30" x14ac:dyDescent="0.35">
      <c r="A4" s="153"/>
      <c r="B4" s="151"/>
      <c r="C4" s="151"/>
      <c r="D4" s="151"/>
      <c r="E4" s="151"/>
      <c r="F4" s="151"/>
      <c r="G4" s="154"/>
      <c r="H4" s="154"/>
      <c r="I4" s="154"/>
      <c r="J4" s="154"/>
      <c r="K4" s="154"/>
      <c r="L4" s="151"/>
      <c r="M4" s="151"/>
      <c r="N4" s="151"/>
      <c r="O4" s="151"/>
      <c r="P4" s="151"/>
      <c r="Q4" s="151"/>
      <c r="R4" s="242"/>
      <c r="S4" s="243"/>
    </row>
    <row r="5" spans="1:30" x14ac:dyDescent="0.35">
      <c r="A5" s="153" t="s">
        <v>175</v>
      </c>
      <c r="B5" s="151"/>
      <c r="C5" s="151" t="s">
        <v>196</v>
      </c>
      <c r="D5" s="151"/>
      <c r="E5" s="151"/>
      <c r="F5" s="151"/>
      <c r="G5" s="154"/>
      <c r="H5" s="154"/>
      <c r="I5" s="154"/>
      <c r="J5" s="154"/>
      <c r="K5" s="154"/>
      <c r="L5" s="151"/>
      <c r="M5" s="151"/>
      <c r="N5" s="151"/>
      <c r="O5" s="151"/>
      <c r="P5" s="151"/>
      <c r="Q5" s="151" t="s">
        <v>181</v>
      </c>
      <c r="R5" s="153" t="s">
        <v>182</v>
      </c>
      <c r="S5" s="151"/>
    </row>
    <row r="6" spans="1:30" x14ac:dyDescent="0.35">
      <c r="A6" s="153" t="s">
        <v>176</v>
      </c>
      <c r="B6" s="151"/>
      <c r="C6" s="151" t="s">
        <v>172</v>
      </c>
      <c r="D6" s="151"/>
      <c r="E6" s="151"/>
      <c r="F6" s="151"/>
      <c r="G6" s="154"/>
      <c r="H6" s="154"/>
      <c r="I6" s="154"/>
      <c r="J6" s="154"/>
      <c r="K6" s="154"/>
      <c r="L6" s="151"/>
      <c r="M6" s="151"/>
      <c r="N6" s="151"/>
      <c r="O6" s="151"/>
      <c r="P6" s="151"/>
      <c r="Q6" s="151" t="s">
        <v>180</v>
      </c>
      <c r="R6" s="153" t="s">
        <v>203</v>
      </c>
      <c r="S6" s="151"/>
    </row>
    <row r="7" spans="1:30" x14ac:dyDescent="0.35">
      <c r="A7" s="153" t="s">
        <v>177</v>
      </c>
      <c r="B7" s="151"/>
      <c r="C7" s="151" t="s">
        <v>174</v>
      </c>
      <c r="D7" s="151"/>
      <c r="E7" s="151"/>
      <c r="F7" s="151"/>
      <c r="G7" s="154"/>
      <c r="H7" s="154"/>
      <c r="I7" s="154"/>
      <c r="J7" s="154"/>
      <c r="K7" s="154"/>
      <c r="L7" s="151"/>
      <c r="M7" s="151"/>
      <c r="N7" s="151"/>
      <c r="O7" s="151"/>
      <c r="P7" s="151"/>
      <c r="Q7" s="151"/>
      <c r="R7" s="151"/>
      <c r="S7" s="151"/>
    </row>
    <row r="8" spans="1:30" s="11" customFormat="1" x14ac:dyDescent="0.35">
      <c r="A8" s="283" t="s">
        <v>3</v>
      </c>
      <c r="B8" s="283" t="s">
        <v>4</v>
      </c>
      <c r="C8" s="283" t="s">
        <v>23</v>
      </c>
      <c r="D8" s="283" t="s">
        <v>6</v>
      </c>
      <c r="E8" s="283"/>
      <c r="F8" s="283"/>
      <c r="G8" s="283"/>
      <c r="H8" s="283"/>
      <c r="I8" s="283"/>
      <c r="J8" s="283"/>
      <c r="K8" s="283"/>
      <c r="L8" s="283" t="s">
        <v>22</v>
      </c>
      <c r="M8" s="283"/>
      <c r="N8" s="283"/>
      <c r="O8" s="283"/>
      <c r="P8" s="155"/>
      <c r="Q8" s="156"/>
      <c r="R8" s="157"/>
      <c r="S8" s="155"/>
      <c r="AC8" s="11" t="s">
        <v>54</v>
      </c>
      <c r="AD8" s="11" t="s">
        <v>54</v>
      </c>
    </row>
    <row r="9" spans="1:30" s="11" customFormat="1" ht="43.5" x14ac:dyDescent="0.35">
      <c r="A9" s="283"/>
      <c r="B9" s="283"/>
      <c r="C9" s="283"/>
      <c r="D9" s="284" t="s">
        <v>7</v>
      </c>
      <c r="E9" s="284"/>
      <c r="F9" s="284"/>
      <c r="G9" s="284"/>
      <c r="H9" s="294" t="s">
        <v>12</v>
      </c>
      <c r="I9" s="294"/>
      <c r="J9" s="294"/>
      <c r="K9" s="294"/>
      <c r="L9" s="284" t="s">
        <v>13</v>
      </c>
      <c r="M9" s="284"/>
      <c r="N9" s="284" t="s">
        <v>15</v>
      </c>
      <c r="O9" s="284"/>
      <c r="P9" s="158"/>
      <c r="Q9" s="281" t="s">
        <v>17</v>
      </c>
      <c r="R9" s="282"/>
      <c r="S9" s="158" t="s">
        <v>167</v>
      </c>
      <c r="W9" s="11" t="s">
        <v>15</v>
      </c>
      <c r="AC9" s="11" t="s">
        <v>56</v>
      </c>
      <c r="AD9" s="11" t="s">
        <v>56</v>
      </c>
    </row>
    <row r="10" spans="1:30" s="11" customFormat="1" ht="43.5" x14ac:dyDescent="0.35">
      <c r="A10" s="283"/>
      <c r="B10" s="283"/>
      <c r="C10" s="283"/>
      <c r="D10" s="159" t="s">
        <v>8</v>
      </c>
      <c r="E10" s="159" t="s">
        <v>9</v>
      </c>
      <c r="F10" s="159" t="s">
        <v>10</v>
      </c>
      <c r="G10" s="160" t="s">
        <v>11</v>
      </c>
      <c r="H10" s="160" t="s">
        <v>0</v>
      </c>
      <c r="I10" s="160" t="s">
        <v>1</v>
      </c>
      <c r="J10" s="160" t="s">
        <v>2</v>
      </c>
      <c r="K10" s="160" t="s">
        <v>11</v>
      </c>
      <c r="L10" s="159" t="s">
        <v>14</v>
      </c>
      <c r="M10" s="159" t="s">
        <v>21</v>
      </c>
      <c r="N10" s="159" t="s">
        <v>14</v>
      </c>
      <c r="O10" s="159" t="s">
        <v>21</v>
      </c>
      <c r="P10" s="161" t="s">
        <v>16</v>
      </c>
      <c r="Q10" s="159" t="s">
        <v>19</v>
      </c>
      <c r="R10" s="159" t="s">
        <v>20</v>
      </c>
      <c r="S10" s="161"/>
      <c r="W10" s="11" t="s">
        <v>14</v>
      </c>
      <c r="X10" s="11" t="s">
        <v>21</v>
      </c>
      <c r="AC10" s="11" t="s">
        <v>55</v>
      </c>
      <c r="AD10" s="11" t="s">
        <v>55</v>
      </c>
    </row>
    <row r="11" spans="1:30" x14ac:dyDescent="0.35">
      <c r="A11" s="179">
        <v>1</v>
      </c>
      <c r="B11" s="176" t="s">
        <v>5</v>
      </c>
      <c r="C11" s="176"/>
      <c r="D11" s="176"/>
      <c r="E11" s="176"/>
      <c r="F11" s="176"/>
      <c r="G11" s="201"/>
      <c r="H11" s="201"/>
      <c r="I11" s="201"/>
      <c r="J11" s="201"/>
      <c r="K11" s="201"/>
      <c r="L11" s="176"/>
      <c r="M11" s="176"/>
      <c r="N11" s="176"/>
      <c r="O11" s="176"/>
      <c r="P11" s="176" t="s">
        <v>67</v>
      </c>
      <c r="Q11" s="176"/>
      <c r="R11" s="176"/>
      <c r="S11" s="176"/>
      <c r="AC11" t="e">
        <f>CONCATENATE(#REF!,B11)</f>
        <v>#REF!</v>
      </c>
      <c r="AD11" t="str">
        <f>IF(L11="","",L11/M11)</f>
        <v/>
      </c>
    </row>
    <row r="12" spans="1:30" x14ac:dyDescent="0.35">
      <c r="A12" s="179">
        <v>2</v>
      </c>
      <c r="B12" s="176" t="s">
        <v>25</v>
      </c>
      <c r="C12" s="176"/>
      <c r="D12" s="176"/>
      <c r="E12" s="176"/>
      <c r="F12" s="176"/>
      <c r="G12" s="201"/>
      <c r="H12" s="201"/>
      <c r="I12" s="201"/>
      <c r="J12" s="201"/>
      <c r="K12" s="201"/>
      <c r="L12" s="176"/>
      <c r="M12" s="176"/>
      <c r="N12" s="176"/>
      <c r="O12" s="176"/>
      <c r="P12" s="176" t="s">
        <v>68</v>
      </c>
      <c r="Q12" s="176"/>
      <c r="R12" s="176"/>
      <c r="S12" s="176"/>
      <c r="AC12" t="e">
        <f>CONCATENATE(#REF!,B12)</f>
        <v>#REF!</v>
      </c>
      <c r="AD12" t="str">
        <f t="shared" ref="AD12:AD20" si="0">IF(L12="","",L12/M12)</f>
        <v/>
      </c>
    </row>
    <row r="13" spans="1:30" x14ac:dyDescent="0.35">
      <c r="A13" s="179">
        <v>3</v>
      </c>
      <c r="B13" s="176" t="s">
        <v>26</v>
      </c>
      <c r="C13" s="176"/>
      <c r="D13" s="176"/>
      <c r="E13" s="176"/>
      <c r="F13" s="176"/>
      <c r="G13" s="201"/>
      <c r="H13" s="201"/>
      <c r="I13" s="201"/>
      <c r="J13" s="201"/>
      <c r="K13" s="201"/>
      <c r="L13" s="176"/>
      <c r="M13" s="176"/>
      <c r="N13" s="176"/>
      <c r="O13" s="176"/>
      <c r="P13" s="176" t="s">
        <v>68</v>
      </c>
      <c r="Q13" s="176"/>
      <c r="R13" s="176"/>
      <c r="S13" s="176"/>
      <c r="AC13" t="e">
        <f>CONCATENATE(#REF!,B13)</f>
        <v>#REF!</v>
      </c>
      <c r="AD13" t="str">
        <f t="shared" si="0"/>
        <v/>
      </c>
    </row>
    <row r="14" spans="1:30" x14ac:dyDescent="0.35">
      <c r="A14" s="179">
        <v>4</v>
      </c>
      <c r="B14" s="176" t="s">
        <v>27</v>
      </c>
      <c r="C14" s="176"/>
      <c r="D14" s="176"/>
      <c r="E14" s="176"/>
      <c r="F14" s="176"/>
      <c r="G14" s="201"/>
      <c r="H14" s="201"/>
      <c r="I14" s="201"/>
      <c r="J14" s="201"/>
      <c r="K14" s="201"/>
      <c r="L14" s="176"/>
      <c r="M14" s="176"/>
      <c r="N14" s="176"/>
      <c r="O14" s="176"/>
      <c r="P14" s="176" t="s">
        <v>69</v>
      </c>
      <c r="Q14" s="176"/>
      <c r="R14" s="176"/>
      <c r="S14" s="176"/>
      <c r="AC14" t="e">
        <f>CONCATENATE(#REF!,B14)</f>
        <v>#REF!</v>
      </c>
      <c r="AD14" t="str">
        <f t="shared" si="0"/>
        <v/>
      </c>
    </row>
    <row r="15" spans="1:30" x14ac:dyDescent="0.35">
      <c r="A15" s="179">
        <v>5</v>
      </c>
      <c r="B15" s="176" t="s">
        <v>28</v>
      </c>
      <c r="C15" s="176"/>
      <c r="D15" s="176"/>
      <c r="E15" s="176"/>
      <c r="F15" s="176"/>
      <c r="G15" s="201"/>
      <c r="H15" s="201"/>
      <c r="I15" s="201"/>
      <c r="J15" s="201"/>
      <c r="K15" s="201"/>
      <c r="L15" s="176"/>
      <c r="M15" s="176"/>
      <c r="N15" s="176"/>
      <c r="O15" s="176"/>
      <c r="P15" s="176" t="s">
        <v>70</v>
      </c>
      <c r="Q15" s="176"/>
      <c r="R15" s="176"/>
      <c r="S15" s="176"/>
      <c r="AC15" t="e">
        <f>CONCATENATE(#REF!,B15)</f>
        <v>#REF!</v>
      </c>
      <c r="AD15" t="str">
        <f t="shared" si="0"/>
        <v/>
      </c>
    </row>
    <row r="16" spans="1:30" x14ac:dyDescent="0.35">
      <c r="A16" s="179">
        <v>6</v>
      </c>
      <c r="B16" s="176" t="s">
        <v>29</v>
      </c>
      <c r="C16" s="176"/>
      <c r="D16" s="176"/>
      <c r="E16" s="176"/>
      <c r="F16" s="176"/>
      <c r="G16" s="201"/>
      <c r="H16" s="201"/>
      <c r="I16" s="201"/>
      <c r="J16" s="201"/>
      <c r="K16" s="201"/>
      <c r="L16" s="176"/>
      <c r="M16" s="176"/>
      <c r="N16" s="176"/>
      <c r="O16" s="176"/>
      <c r="P16" s="176" t="s">
        <v>70</v>
      </c>
      <c r="Q16" s="176"/>
      <c r="R16" s="176"/>
      <c r="S16" s="176"/>
      <c r="AC16" t="e">
        <f>CONCATENATE(#REF!,B16)</f>
        <v>#REF!</v>
      </c>
      <c r="AD16" t="str">
        <f t="shared" si="0"/>
        <v/>
      </c>
    </row>
    <row r="17" spans="1:30" x14ac:dyDescent="0.35">
      <c r="A17" s="179">
        <v>7</v>
      </c>
      <c r="B17" s="176" t="s">
        <v>30</v>
      </c>
      <c r="C17" s="176"/>
      <c r="D17" s="176"/>
      <c r="E17" s="176"/>
      <c r="F17" s="176"/>
      <c r="G17" s="201"/>
      <c r="H17" s="201"/>
      <c r="I17" s="201"/>
      <c r="J17" s="201"/>
      <c r="K17" s="201"/>
      <c r="L17" s="176"/>
      <c r="M17" s="176"/>
      <c r="N17" s="176"/>
      <c r="O17" s="176"/>
      <c r="P17" s="176" t="s">
        <v>71</v>
      </c>
      <c r="Q17" s="176"/>
      <c r="R17" s="176"/>
      <c r="S17" s="176"/>
      <c r="AC17" t="e">
        <f>CONCATENATE(#REF!,B17)</f>
        <v>#REF!</v>
      </c>
      <c r="AD17" t="str">
        <f t="shared" si="0"/>
        <v/>
      </c>
    </row>
    <row r="18" spans="1:30" x14ac:dyDescent="0.35">
      <c r="A18" s="179">
        <v>8</v>
      </c>
      <c r="B18" s="176" t="s">
        <v>31</v>
      </c>
      <c r="C18" s="176"/>
      <c r="D18" s="176"/>
      <c r="E18" s="176"/>
      <c r="F18" s="176"/>
      <c r="G18" s="201"/>
      <c r="H18" s="201"/>
      <c r="I18" s="201"/>
      <c r="J18" s="201"/>
      <c r="K18" s="201"/>
      <c r="L18" s="176"/>
      <c r="M18" s="176"/>
      <c r="N18" s="176"/>
      <c r="O18" s="176"/>
      <c r="P18" s="176" t="s">
        <v>72</v>
      </c>
      <c r="Q18" s="176"/>
      <c r="R18" s="176"/>
      <c r="S18" s="176"/>
      <c r="AC18" t="e">
        <f>CONCATENATE(#REF!,B18)</f>
        <v>#REF!</v>
      </c>
      <c r="AD18" t="str">
        <f t="shared" si="0"/>
        <v/>
      </c>
    </row>
    <row r="19" spans="1:30" x14ac:dyDescent="0.35">
      <c r="A19" s="179">
        <v>9</v>
      </c>
      <c r="B19" s="176" t="s">
        <v>32</v>
      </c>
      <c r="C19" s="176"/>
      <c r="D19" s="176"/>
      <c r="E19" s="176"/>
      <c r="F19" s="176"/>
      <c r="G19" s="201"/>
      <c r="H19" s="201"/>
      <c r="I19" s="201"/>
      <c r="J19" s="201"/>
      <c r="K19" s="201"/>
      <c r="L19" s="176"/>
      <c r="M19" s="176"/>
      <c r="N19" s="176"/>
      <c r="O19" s="176"/>
      <c r="P19" s="176" t="s">
        <v>72</v>
      </c>
      <c r="Q19" s="176"/>
      <c r="R19" s="176"/>
      <c r="S19" s="176"/>
      <c r="AC19" t="e">
        <f>CONCATENATE(#REF!,B19)</f>
        <v>#REF!</v>
      </c>
      <c r="AD19" t="str">
        <f t="shared" si="0"/>
        <v/>
      </c>
    </row>
    <row r="20" spans="1:30" x14ac:dyDescent="0.35">
      <c r="A20" s="179">
        <v>10</v>
      </c>
      <c r="B20" s="176" t="s">
        <v>33</v>
      </c>
      <c r="C20" s="176"/>
      <c r="D20" s="176"/>
      <c r="E20" s="176"/>
      <c r="F20" s="176"/>
      <c r="G20" s="201"/>
      <c r="H20" s="201"/>
      <c r="I20" s="201"/>
      <c r="J20" s="201"/>
      <c r="K20" s="201"/>
      <c r="L20" s="176"/>
      <c r="M20" s="176"/>
      <c r="N20" s="176"/>
      <c r="O20" s="176"/>
      <c r="P20" s="176" t="s">
        <v>72</v>
      </c>
      <c r="Q20" s="176"/>
      <c r="R20" s="176"/>
      <c r="S20" s="176"/>
      <c r="AC20" t="e">
        <f>CONCATENATE(#REF!,B20)</f>
        <v>#REF!</v>
      </c>
      <c r="AD20" t="str">
        <f t="shared" si="0"/>
        <v/>
      </c>
    </row>
    <row r="21" spans="1:30" x14ac:dyDescent="0.35">
      <c r="A21" s="179">
        <v>11</v>
      </c>
      <c r="B21" s="200" t="s">
        <v>96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AC21" t="e">
        <f>CONCATENATE(#REF!,B22)</f>
        <v>#REF!</v>
      </c>
      <c r="AD21" t="str">
        <f t="shared" ref="AD21:AD37" si="1">IF(L22="","",L22/M22)</f>
        <v/>
      </c>
    </row>
    <row r="22" spans="1:30" x14ac:dyDescent="0.35">
      <c r="A22" s="179">
        <v>12</v>
      </c>
      <c r="B22" s="176" t="s">
        <v>34</v>
      </c>
      <c r="C22" s="176"/>
      <c r="D22" s="176"/>
      <c r="E22" s="176"/>
      <c r="F22" s="176"/>
      <c r="G22" s="201"/>
      <c r="H22" s="201"/>
      <c r="I22" s="201"/>
      <c r="J22" s="201"/>
      <c r="K22" s="201"/>
      <c r="L22" s="176"/>
      <c r="M22" s="235"/>
      <c r="N22" s="176"/>
      <c r="O22" s="176"/>
      <c r="P22" s="176" t="s">
        <v>73</v>
      </c>
      <c r="Q22" s="176"/>
      <c r="R22" s="176"/>
      <c r="S22" s="176"/>
      <c r="AC22" t="e">
        <f>CONCATENATE(#REF!,B23)</f>
        <v>#REF!</v>
      </c>
      <c r="AD22">
        <f t="shared" si="1"/>
        <v>44.6</v>
      </c>
    </row>
    <row r="23" spans="1:30" x14ac:dyDescent="0.35">
      <c r="A23" s="179">
        <v>13</v>
      </c>
      <c r="B23" s="176" t="s">
        <v>35</v>
      </c>
      <c r="C23" s="246">
        <v>133.80000000000001</v>
      </c>
      <c r="D23" s="246">
        <v>1</v>
      </c>
      <c r="E23" s="246">
        <v>1</v>
      </c>
      <c r="F23" s="246">
        <v>0</v>
      </c>
      <c r="G23" s="246">
        <f>C23+E23-F23</f>
        <v>134.80000000000001</v>
      </c>
      <c r="H23" s="246">
        <f>78.7-10</f>
        <v>68.7</v>
      </c>
      <c r="I23" s="246">
        <f>44.6+10</f>
        <v>54.6</v>
      </c>
      <c r="J23" s="246">
        <f>10.5+1</f>
        <v>11.5</v>
      </c>
      <c r="K23" s="246">
        <f>SUM(H23:J23)</f>
        <v>134.80000000000001</v>
      </c>
      <c r="L23" s="246">
        <v>31086.2</v>
      </c>
      <c r="M23" s="246">
        <v>697</v>
      </c>
      <c r="N23" s="246">
        <f>O23*I23</f>
        <v>43516.200000000004</v>
      </c>
      <c r="O23" s="246">
        <v>797</v>
      </c>
      <c r="P23" s="176" t="s">
        <v>74</v>
      </c>
      <c r="Q23" s="235">
        <f>535+2100</f>
        <v>2635</v>
      </c>
      <c r="R23" s="176"/>
      <c r="S23" s="176"/>
      <c r="W23">
        <v>10793.2</v>
      </c>
      <c r="X23">
        <v>242</v>
      </c>
      <c r="AC23" t="e">
        <f>CONCATENATE(#REF!,B24)</f>
        <v>#REF!</v>
      </c>
      <c r="AD23">
        <f t="shared" si="1"/>
        <v>5</v>
      </c>
    </row>
    <row r="24" spans="1:30" x14ac:dyDescent="0.35">
      <c r="A24" s="179">
        <v>14</v>
      </c>
      <c r="B24" s="176" t="s">
        <v>36</v>
      </c>
      <c r="C24" s="257">
        <v>5</v>
      </c>
      <c r="D24" s="257" t="s">
        <v>92</v>
      </c>
      <c r="E24" s="257" t="s">
        <v>92</v>
      </c>
      <c r="F24" s="257" t="s">
        <v>92</v>
      </c>
      <c r="G24" s="246">
        <f>C24+E24-F24</f>
        <v>5</v>
      </c>
      <c r="H24" s="246">
        <v>0</v>
      </c>
      <c r="I24" s="246">
        <v>5</v>
      </c>
      <c r="J24" s="246">
        <v>0</v>
      </c>
      <c r="K24" s="246">
        <f>SUM(H24:J24)</f>
        <v>5</v>
      </c>
      <c r="L24" s="246">
        <v>38093</v>
      </c>
      <c r="M24" s="246">
        <v>7618.6</v>
      </c>
      <c r="N24" s="246">
        <f>O24*I24</f>
        <v>10290</v>
      </c>
      <c r="O24" s="246">
        <v>2058</v>
      </c>
      <c r="P24" s="176" t="s">
        <v>75</v>
      </c>
      <c r="Q24" s="235">
        <f>30+201</f>
        <v>231</v>
      </c>
      <c r="R24" s="176"/>
      <c r="S24" s="176"/>
      <c r="W24">
        <v>0</v>
      </c>
      <c r="X24">
        <v>0</v>
      </c>
      <c r="AC24" t="e">
        <f>CONCATENATE(#REF!,B25)</f>
        <v>#REF!</v>
      </c>
      <c r="AD24" t="str">
        <f t="shared" si="1"/>
        <v/>
      </c>
    </row>
    <row r="25" spans="1:30" x14ac:dyDescent="0.35">
      <c r="A25" s="179">
        <v>15</v>
      </c>
      <c r="B25" s="176" t="s">
        <v>37</v>
      </c>
      <c r="C25" s="176"/>
      <c r="D25" s="176"/>
      <c r="E25" s="176"/>
      <c r="F25" s="176"/>
      <c r="G25" s="201"/>
      <c r="H25" s="201"/>
      <c r="I25" s="201"/>
      <c r="J25" s="201"/>
      <c r="K25" s="201"/>
      <c r="L25" s="176"/>
      <c r="M25" s="176"/>
      <c r="N25" s="176"/>
      <c r="O25" s="176"/>
      <c r="P25" s="176" t="s">
        <v>74</v>
      </c>
      <c r="Q25" s="176"/>
      <c r="R25" s="176"/>
      <c r="S25" s="176"/>
      <c r="AC25" t="e">
        <f>CONCATENATE(#REF!,B26)</f>
        <v>#REF!</v>
      </c>
      <c r="AD25" t="str">
        <f t="shared" si="1"/>
        <v/>
      </c>
    </row>
    <row r="26" spans="1:30" x14ac:dyDescent="0.35">
      <c r="A26" s="179">
        <v>16</v>
      </c>
      <c r="B26" s="176" t="s">
        <v>38</v>
      </c>
      <c r="C26" s="176"/>
      <c r="D26" s="176"/>
      <c r="E26" s="176"/>
      <c r="F26" s="176"/>
      <c r="G26" s="201"/>
      <c r="H26" s="201"/>
      <c r="I26" s="201"/>
      <c r="J26" s="201"/>
      <c r="K26" s="201"/>
      <c r="L26" s="176"/>
      <c r="M26" s="176"/>
      <c r="N26" s="176"/>
      <c r="O26" s="176"/>
      <c r="P26" s="176" t="s">
        <v>76</v>
      </c>
      <c r="Q26" s="176"/>
      <c r="R26" s="176"/>
      <c r="S26" s="176"/>
      <c r="AC26" t="e">
        <f>CONCATENATE(#REF!,B27)</f>
        <v>#REF!</v>
      </c>
      <c r="AD26" t="str">
        <f t="shared" si="1"/>
        <v/>
      </c>
    </row>
    <row r="27" spans="1:30" x14ac:dyDescent="0.35">
      <c r="A27" s="179">
        <v>17</v>
      </c>
      <c r="B27" s="176" t="s">
        <v>39</v>
      </c>
      <c r="C27" s="176"/>
      <c r="D27" s="176"/>
      <c r="E27" s="176"/>
      <c r="F27" s="176"/>
      <c r="G27" s="201"/>
      <c r="H27" s="201"/>
      <c r="I27" s="201"/>
      <c r="J27" s="201"/>
      <c r="K27" s="201"/>
      <c r="L27" s="176"/>
      <c r="M27" s="176"/>
      <c r="N27" s="176"/>
      <c r="O27" s="176"/>
      <c r="P27" s="176" t="s">
        <v>77</v>
      </c>
      <c r="Q27" s="176"/>
      <c r="R27" s="176"/>
      <c r="S27" s="176"/>
      <c r="AC27" t="e">
        <f>CONCATENATE(#REF!,B28)</f>
        <v>#REF!</v>
      </c>
      <c r="AD27" t="str">
        <f t="shared" si="1"/>
        <v/>
      </c>
    </row>
    <row r="28" spans="1:30" x14ac:dyDescent="0.35">
      <c r="A28" s="179">
        <v>18</v>
      </c>
      <c r="B28" s="176" t="s">
        <v>40</v>
      </c>
      <c r="C28" s="176"/>
      <c r="D28" s="176"/>
      <c r="E28" s="176"/>
      <c r="F28" s="176"/>
      <c r="G28" s="201"/>
      <c r="H28" s="201"/>
      <c r="I28" s="201"/>
      <c r="J28" s="201"/>
      <c r="K28" s="201"/>
      <c r="L28" s="176"/>
      <c r="M28" s="176"/>
      <c r="N28" s="176"/>
      <c r="O28" s="176"/>
      <c r="P28" s="176" t="s">
        <v>78</v>
      </c>
      <c r="Q28" s="176"/>
      <c r="R28" s="176"/>
      <c r="S28" s="176"/>
      <c r="AC28" t="e">
        <f>CONCATENATE(#REF!,B29)</f>
        <v>#REF!</v>
      </c>
      <c r="AD28" t="str">
        <f t="shared" si="1"/>
        <v/>
      </c>
    </row>
    <row r="29" spans="1:30" x14ac:dyDescent="0.35">
      <c r="A29" s="179">
        <v>19</v>
      </c>
      <c r="B29" s="176" t="s">
        <v>41</v>
      </c>
      <c r="C29" s="176"/>
      <c r="D29" s="176"/>
      <c r="E29" s="176"/>
      <c r="F29" s="176"/>
      <c r="G29" s="201"/>
      <c r="H29" s="201"/>
      <c r="I29" s="201"/>
      <c r="J29" s="201"/>
      <c r="K29" s="201"/>
      <c r="L29" s="176"/>
      <c r="M29" s="176"/>
      <c r="N29" s="176"/>
      <c r="O29" s="176"/>
      <c r="P29" s="176" t="s">
        <v>79</v>
      </c>
      <c r="Q29" s="176"/>
      <c r="R29" s="176"/>
      <c r="S29" s="176"/>
      <c r="AC29" t="e">
        <f>CONCATENATE(#REF!,B30)</f>
        <v>#REF!</v>
      </c>
      <c r="AD29" t="str">
        <f t="shared" si="1"/>
        <v/>
      </c>
    </row>
    <row r="30" spans="1:30" x14ac:dyDescent="0.35">
      <c r="A30" s="179">
        <v>20</v>
      </c>
      <c r="B30" s="176" t="s">
        <v>42</v>
      </c>
      <c r="C30" s="176"/>
      <c r="D30" s="176"/>
      <c r="E30" s="176"/>
      <c r="F30" s="176"/>
      <c r="G30" s="201"/>
      <c r="H30" s="201"/>
      <c r="I30" s="201"/>
      <c r="J30" s="201"/>
      <c r="K30" s="201"/>
      <c r="L30" s="176"/>
      <c r="M30" s="176"/>
      <c r="N30" s="176"/>
      <c r="O30" s="176"/>
      <c r="P30" s="176" t="s">
        <v>80</v>
      </c>
      <c r="Q30" s="176"/>
      <c r="R30" s="176"/>
      <c r="S30" s="176"/>
      <c r="AC30" t="e">
        <f>CONCATENATE(#REF!,B31)</f>
        <v>#REF!</v>
      </c>
      <c r="AD30" t="str">
        <f t="shared" si="1"/>
        <v/>
      </c>
    </row>
    <row r="31" spans="1:30" x14ac:dyDescent="0.35">
      <c r="A31" s="179">
        <v>21</v>
      </c>
      <c r="B31" s="176" t="s">
        <v>43</v>
      </c>
      <c r="C31" s="176"/>
      <c r="D31" s="176"/>
      <c r="E31" s="176"/>
      <c r="F31" s="176"/>
      <c r="G31" s="201"/>
      <c r="H31" s="201"/>
      <c r="I31" s="201"/>
      <c r="J31" s="201"/>
      <c r="K31" s="201"/>
      <c r="L31" s="176"/>
      <c r="M31" s="176"/>
      <c r="N31" s="176"/>
      <c r="O31" s="176"/>
      <c r="P31" s="176" t="s">
        <v>69</v>
      </c>
      <c r="Q31" s="176"/>
      <c r="R31" s="176"/>
      <c r="S31" s="176"/>
      <c r="AC31" t="e">
        <f>CONCATENATE(#REF!,B32)</f>
        <v>#REF!</v>
      </c>
      <c r="AD31" t="str">
        <f t="shared" si="1"/>
        <v/>
      </c>
    </row>
    <row r="32" spans="1:30" x14ac:dyDescent="0.35">
      <c r="A32" s="179">
        <v>22</v>
      </c>
      <c r="B32" s="176" t="s">
        <v>44</v>
      </c>
      <c r="C32" s="176"/>
      <c r="D32" s="176"/>
      <c r="E32" s="176"/>
      <c r="F32" s="176"/>
      <c r="G32" s="201"/>
      <c r="H32" s="201"/>
      <c r="I32" s="201"/>
      <c r="J32" s="201"/>
      <c r="K32" s="201"/>
      <c r="L32" s="176"/>
      <c r="M32" s="176"/>
      <c r="N32" s="176"/>
      <c r="O32" s="176"/>
      <c r="P32" s="176" t="s">
        <v>81</v>
      </c>
      <c r="Q32" s="176"/>
      <c r="R32" s="176"/>
      <c r="S32" s="176"/>
      <c r="AC32" t="e">
        <f>CONCATENATE(#REF!,B33)</f>
        <v>#REF!</v>
      </c>
      <c r="AD32" t="str">
        <f t="shared" si="1"/>
        <v/>
      </c>
    </row>
    <row r="33" spans="1:30" x14ac:dyDescent="0.35">
      <c r="A33" s="179">
        <v>23</v>
      </c>
      <c r="B33" s="176" t="s">
        <v>45</v>
      </c>
      <c r="C33" s="176"/>
      <c r="D33" s="176"/>
      <c r="E33" s="176"/>
      <c r="F33" s="176"/>
      <c r="G33" s="201"/>
      <c r="H33" s="201"/>
      <c r="I33" s="201"/>
      <c r="J33" s="201"/>
      <c r="K33" s="201"/>
      <c r="L33" s="176"/>
      <c r="M33" s="176"/>
      <c r="N33" s="176"/>
      <c r="O33" s="176"/>
      <c r="P33" s="176" t="s">
        <v>81</v>
      </c>
      <c r="Q33" s="176"/>
      <c r="R33" s="176"/>
      <c r="S33" s="176"/>
      <c r="AC33" t="e">
        <f>CONCATENATE(#REF!,B34)</f>
        <v>#REF!</v>
      </c>
      <c r="AD33" t="str">
        <f t="shared" si="1"/>
        <v/>
      </c>
    </row>
    <row r="34" spans="1:30" x14ac:dyDescent="0.35">
      <c r="A34" s="179">
        <v>24</v>
      </c>
      <c r="B34" s="176" t="s">
        <v>46</v>
      </c>
      <c r="C34" s="176"/>
      <c r="D34" s="176"/>
      <c r="E34" s="176"/>
      <c r="F34" s="176"/>
      <c r="G34" s="201"/>
      <c r="H34" s="201"/>
      <c r="I34" s="201"/>
      <c r="J34" s="201"/>
      <c r="K34" s="201"/>
      <c r="L34" s="176"/>
      <c r="M34" s="176"/>
      <c r="N34" s="176"/>
      <c r="O34" s="176"/>
      <c r="P34" s="176" t="s">
        <v>72</v>
      </c>
      <c r="Q34" s="176"/>
      <c r="R34" s="176"/>
      <c r="S34" s="176"/>
      <c r="AC34" t="e">
        <f>CONCATENATE(#REF!,B35)</f>
        <v>#REF!</v>
      </c>
      <c r="AD34" t="str">
        <f t="shared" si="1"/>
        <v/>
      </c>
    </row>
    <row r="35" spans="1:30" x14ac:dyDescent="0.35">
      <c r="A35" s="179">
        <v>25</v>
      </c>
      <c r="B35" s="176" t="s">
        <v>47</v>
      </c>
      <c r="C35" s="176"/>
      <c r="D35" s="176"/>
      <c r="E35" s="176"/>
      <c r="F35" s="176"/>
      <c r="G35" s="201"/>
      <c r="H35" s="201"/>
      <c r="I35" s="201"/>
      <c r="J35" s="201"/>
      <c r="K35" s="201"/>
      <c r="L35" s="176"/>
      <c r="M35" s="176"/>
      <c r="N35" s="176"/>
      <c r="O35" s="176"/>
      <c r="P35" s="176" t="s">
        <v>75</v>
      </c>
      <c r="Q35" s="176"/>
      <c r="R35" s="176"/>
      <c r="S35" s="176"/>
      <c r="AC35" t="e">
        <f>CONCATENATE(#REF!,B36)</f>
        <v>#REF!</v>
      </c>
      <c r="AD35" t="str">
        <f t="shared" si="1"/>
        <v/>
      </c>
    </row>
    <row r="36" spans="1:30" x14ac:dyDescent="0.35">
      <c r="A36" s="179">
        <v>26</v>
      </c>
      <c r="B36" s="176" t="s">
        <v>48</v>
      </c>
      <c r="C36" s="176"/>
      <c r="D36" s="176"/>
      <c r="E36" s="176"/>
      <c r="F36" s="176"/>
      <c r="G36" s="201"/>
      <c r="H36" s="201"/>
      <c r="I36" s="201"/>
      <c r="J36" s="201"/>
      <c r="K36" s="201"/>
      <c r="L36" s="176"/>
      <c r="M36" s="176"/>
      <c r="N36" s="176"/>
      <c r="O36" s="176"/>
      <c r="P36" s="176" t="s">
        <v>72</v>
      </c>
      <c r="Q36" s="176"/>
      <c r="R36" s="176"/>
      <c r="S36" s="176"/>
      <c r="AC36" t="e">
        <f>CONCATENATE(#REF!,B37)</f>
        <v>#REF!</v>
      </c>
      <c r="AD36" t="str">
        <f t="shared" si="1"/>
        <v/>
      </c>
    </row>
    <row r="37" spans="1:30" x14ac:dyDescent="0.35">
      <c r="A37" s="179">
        <v>27</v>
      </c>
      <c r="B37" s="176" t="s">
        <v>49</v>
      </c>
      <c r="C37" s="176"/>
      <c r="D37" s="176"/>
      <c r="E37" s="176"/>
      <c r="F37" s="176"/>
      <c r="G37" s="201"/>
      <c r="H37" s="201"/>
      <c r="I37" s="201"/>
      <c r="J37" s="201"/>
      <c r="K37" s="201"/>
      <c r="L37" s="176"/>
      <c r="M37" s="176"/>
      <c r="N37" s="176"/>
      <c r="O37" s="176"/>
      <c r="P37" s="176" t="s">
        <v>84</v>
      </c>
      <c r="Q37" s="176"/>
      <c r="R37" s="176"/>
      <c r="S37" s="176"/>
      <c r="AC37" t="e">
        <f>CONCATENATE(#REF!,B38)</f>
        <v>#REF!</v>
      </c>
      <c r="AD37" t="str">
        <f t="shared" si="1"/>
        <v/>
      </c>
    </row>
    <row r="38" spans="1:30" x14ac:dyDescent="0.35">
      <c r="A38" s="179">
        <v>28</v>
      </c>
      <c r="B38" s="176" t="s">
        <v>50</v>
      </c>
      <c r="C38" s="176"/>
      <c r="D38" s="176"/>
      <c r="E38" s="176"/>
      <c r="F38" s="176"/>
      <c r="G38" s="201"/>
      <c r="H38" s="201"/>
      <c r="I38" s="201"/>
      <c r="J38" s="201"/>
      <c r="K38" s="201"/>
      <c r="L38" s="176"/>
      <c r="M38" s="176"/>
      <c r="N38" s="176"/>
      <c r="O38" s="176"/>
      <c r="P38" s="176" t="s">
        <v>77</v>
      </c>
      <c r="Q38" s="176"/>
      <c r="R38" s="176"/>
      <c r="S38" s="176"/>
      <c r="AC38" t="e">
        <f>CONCATENATE(#REF!,#REF!)</f>
        <v>#REF!</v>
      </c>
    </row>
    <row r="39" spans="1:30" x14ac:dyDescent="0.35">
      <c r="A39" s="179">
        <v>29</v>
      </c>
      <c r="B39" s="176" t="s">
        <v>51</v>
      </c>
      <c r="C39" s="176"/>
      <c r="D39" s="176"/>
      <c r="E39" s="176"/>
      <c r="F39" s="176"/>
      <c r="G39" s="201"/>
      <c r="H39" s="201"/>
      <c r="I39" s="201"/>
      <c r="J39" s="201"/>
      <c r="K39" s="201"/>
      <c r="L39" s="176"/>
      <c r="M39" s="176"/>
      <c r="N39" s="176"/>
      <c r="O39" s="176"/>
      <c r="P39" s="176" t="s">
        <v>82</v>
      </c>
      <c r="Q39" s="176"/>
      <c r="R39" s="176"/>
      <c r="S39" s="176"/>
      <c r="AC39" t="e">
        <f>CONCATENATE(#REF!,B40)</f>
        <v>#REF!</v>
      </c>
      <c r="AD39" t="str">
        <f>IF(L40="","",L40/M40)</f>
        <v/>
      </c>
    </row>
    <row r="40" spans="1:30" x14ac:dyDescent="0.35">
      <c r="A40" s="179">
        <v>30</v>
      </c>
      <c r="B40" s="176" t="s">
        <v>52</v>
      </c>
      <c r="C40" s="176"/>
      <c r="D40" s="176"/>
      <c r="E40" s="176"/>
      <c r="F40" s="176"/>
      <c r="G40" s="201"/>
      <c r="H40" s="201"/>
      <c r="I40" s="201"/>
      <c r="J40" s="201"/>
      <c r="K40" s="201"/>
      <c r="L40" s="176"/>
      <c r="M40" s="176"/>
      <c r="N40" s="176"/>
      <c r="O40" s="176"/>
      <c r="P40" s="176" t="s">
        <v>83</v>
      </c>
      <c r="Q40" s="176"/>
      <c r="R40" s="176"/>
      <c r="S40" s="176"/>
    </row>
    <row r="41" spans="1:30" x14ac:dyDescent="0.35">
      <c r="A41" s="151"/>
      <c r="B41" s="151"/>
      <c r="C41" s="151"/>
      <c r="D41" s="151"/>
      <c r="E41" s="151"/>
      <c r="F41" s="151"/>
      <c r="G41" s="152"/>
      <c r="H41" s="152"/>
      <c r="I41" s="152"/>
      <c r="J41" s="152"/>
      <c r="K41" s="152"/>
      <c r="L41" s="151"/>
      <c r="M41" s="151"/>
      <c r="N41" s="151"/>
      <c r="O41" s="151"/>
      <c r="P41" s="151"/>
      <c r="Q41" s="151"/>
      <c r="R41" s="151"/>
      <c r="S41" s="151"/>
    </row>
    <row r="42" spans="1:30" x14ac:dyDescent="0.35">
      <c r="A42" s="151"/>
      <c r="B42" s="151"/>
      <c r="C42" s="151"/>
      <c r="D42" s="151"/>
      <c r="E42" s="151"/>
      <c r="F42" s="151"/>
      <c r="G42" s="152"/>
      <c r="H42" s="152"/>
      <c r="I42" s="152"/>
      <c r="J42" s="152"/>
      <c r="K42" s="152"/>
      <c r="L42" s="151"/>
      <c r="M42" s="151"/>
      <c r="N42" s="151"/>
      <c r="O42" s="286" t="s">
        <v>110</v>
      </c>
      <c r="P42" s="286"/>
      <c r="Q42" s="286"/>
      <c r="R42" s="286"/>
      <c r="S42" s="151"/>
      <c r="X42" t="s">
        <v>110</v>
      </c>
    </row>
    <row r="43" spans="1:30" x14ac:dyDescent="0.35">
      <c r="A43" s="151"/>
      <c r="B43" s="151"/>
      <c r="C43" s="151"/>
      <c r="D43" s="151"/>
      <c r="E43" s="151"/>
      <c r="F43" s="151"/>
      <c r="G43" s="152"/>
      <c r="H43" s="152"/>
      <c r="I43" s="152"/>
      <c r="J43" s="152"/>
      <c r="K43" s="152"/>
      <c r="L43" s="151"/>
      <c r="M43" s="151"/>
      <c r="N43" s="151"/>
      <c r="O43" s="190"/>
      <c r="P43" s="190"/>
      <c r="Q43" s="190"/>
      <c r="R43" s="190"/>
      <c r="S43" s="151"/>
    </row>
    <row r="44" spans="1:30" x14ac:dyDescent="0.35">
      <c r="A44" s="151"/>
      <c r="B44" s="151"/>
      <c r="C44" s="151"/>
      <c r="D44" s="151"/>
      <c r="E44" s="151"/>
      <c r="F44" s="151"/>
      <c r="G44" s="152"/>
      <c r="H44" s="152"/>
      <c r="I44" s="152"/>
      <c r="J44" s="152"/>
      <c r="K44" s="152"/>
      <c r="L44" s="151"/>
      <c r="M44" s="151"/>
      <c r="N44" s="151"/>
      <c r="O44" s="190"/>
      <c r="P44" s="190"/>
      <c r="Q44" s="190"/>
      <c r="R44" s="190"/>
      <c r="S44" s="151"/>
    </row>
    <row r="45" spans="1:30" x14ac:dyDescent="0.35">
      <c r="A45" s="151"/>
      <c r="B45" s="151"/>
      <c r="C45" s="151"/>
      <c r="D45" s="151"/>
      <c r="E45" s="151"/>
      <c r="F45" s="151"/>
      <c r="G45" s="152"/>
      <c r="H45" s="152"/>
      <c r="I45" s="152"/>
      <c r="J45" s="152"/>
      <c r="K45" s="152"/>
      <c r="L45" s="151"/>
      <c r="M45" s="151"/>
      <c r="N45" s="151"/>
      <c r="O45" s="293" t="s">
        <v>153</v>
      </c>
      <c r="P45" s="293"/>
      <c r="Q45" s="293"/>
      <c r="R45" s="293"/>
      <c r="S45" s="151"/>
      <c r="X45" t="s">
        <v>153</v>
      </c>
    </row>
    <row r="46" spans="1:30" x14ac:dyDescent="0.35">
      <c r="A46" s="151"/>
      <c r="B46" s="151"/>
      <c r="C46" s="151"/>
      <c r="D46" s="151"/>
      <c r="E46" s="151"/>
      <c r="F46" s="151"/>
      <c r="G46" s="152"/>
      <c r="H46" s="152"/>
      <c r="I46" s="152"/>
      <c r="J46" s="152"/>
      <c r="K46" s="152"/>
      <c r="L46" s="151"/>
      <c r="M46" s="151"/>
      <c r="N46" s="151"/>
      <c r="O46" s="286" t="s">
        <v>154</v>
      </c>
      <c r="P46" s="286"/>
      <c r="Q46" s="286"/>
      <c r="R46" s="286"/>
      <c r="S46" s="151"/>
      <c r="X46" t="s">
        <v>154</v>
      </c>
    </row>
    <row r="47" spans="1:30" x14ac:dyDescent="0.35">
      <c r="A47" s="151"/>
      <c r="B47" s="151"/>
      <c r="C47" s="151"/>
      <c r="D47" s="151"/>
      <c r="E47" s="151"/>
      <c r="F47" s="151"/>
      <c r="G47" s="152"/>
      <c r="H47" s="152"/>
      <c r="I47" s="152"/>
      <c r="J47" s="152"/>
      <c r="K47" s="152"/>
      <c r="L47" s="151"/>
      <c r="M47" s="151"/>
      <c r="N47" s="151"/>
      <c r="O47" s="151"/>
      <c r="P47" s="151"/>
      <c r="Q47" s="151"/>
      <c r="R47" s="151"/>
      <c r="S47" s="151"/>
    </row>
  </sheetData>
  <mergeCells count="14">
    <mergeCell ref="O46:R46"/>
    <mergeCell ref="O42:R42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  <mergeCell ref="O45:R45"/>
  </mergeCells>
  <pageMargins left="0.5" right="0.7" top="0.25" bottom="0" header="0.3" footer="0.3"/>
  <pageSetup paperSize="5" scale="70"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AC46"/>
  <sheetViews>
    <sheetView topLeftCell="B4" zoomScale="90" zoomScaleNormal="90" workbookViewId="0">
      <selection activeCell="S4" sqref="S4"/>
    </sheetView>
  </sheetViews>
  <sheetFormatPr defaultRowHeight="14.5" x14ac:dyDescent="0.35"/>
  <cols>
    <col min="1" max="1" width="5.7265625" customWidth="1"/>
    <col min="2" max="2" width="19.7265625" customWidth="1"/>
    <col min="3" max="3" width="14.7265625" customWidth="1"/>
    <col min="4" max="4" width="9.54296875" customWidth="1"/>
    <col min="5" max="5" width="8.7265625" customWidth="1"/>
    <col min="6" max="6" width="11.1796875" customWidth="1"/>
    <col min="7" max="9" width="9.54296875" style="32" bestFit="1" customWidth="1"/>
    <col min="10" max="10" width="10.1796875" style="32" customWidth="1"/>
    <col min="11" max="11" width="9.54296875" style="32" bestFit="1" customWidth="1"/>
    <col min="12" max="12" width="12.1796875" bestFit="1" customWidth="1"/>
    <col min="13" max="13" width="12" customWidth="1"/>
    <col min="14" max="14" width="11.26953125" customWidth="1"/>
    <col min="15" max="15" width="11.81640625" customWidth="1"/>
    <col min="16" max="16" width="17.54296875" customWidth="1"/>
    <col min="17" max="17" width="12.26953125" customWidth="1"/>
    <col min="18" max="18" width="9.7265625" customWidth="1"/>
    <col min="19" max="19" width="5.1796875" customWidth="1"/>
    <col min="28" max="29" width="9.1796875" hidden="1" customWidth="1"/>
  </cols>
  <sheetData>
    <row r="1" spans="1:29" x14ac:dyDescent="0.35">
      <c r="A1" s="1" t="s">
        <v>57</v>
      </c>
      <c r="G1" s="30"/>
      <c r="H1" s="30"/>
      <c r="I1" s="30"/>
      <c r="J1" s="30"/>
      <c r="K1" s="30"/>
    </row>
    <row r="2" spans="1:29" x14ac:dyDescent="0.35">
      <c r="A2" s="2"/>
      <c r="G2" s="30"/>
      <c r="H2" s="30"/>
      <c r="I2" s="30"/>
      <c r="J2" s="30"/>
      <c r="K2" s="30"/>
    </row>
    <row r="3" spans="1:29" ht="30" customHeight="1" x14ac:dyDescent="0.35">
      <c r="A3" s="309" t="s">
        <v>58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</row>
    <row r="4" spans="1:29" x14ac:dyDescent="0.35">
      <c r="A4" s="153"/>
      <c r="B4" s="151"/>
      <c r="C4" s="151"/>
      <c r="D4" s="151"/>
      <c r="E4" s="151"/>
      <c r="F4" s="151"/>
      <c r="G4" s="154"/>
      <c r="H4" s="154"/>
      <c r="I4" s="154"/>
      <c r="J4" s="154"/>
      <c r="K4" s="154"/>
      <c r="L4" s="151"/>
      <c r="M4" s="151"/>
      <c r="N4" s="151"/>
      <c r="O4" s="151"/>
      <c r="P4" s="151"/>
      <c r="Q4" s="151"/>
      <c r="R4" s="242"/>
      <c r="S4" s="243"/>
    </row>
    <row r="5" spans="1:29" x14ac:dyDescent="0.35">
      <c r="A5" s="153" t="s">
        <v>175</v>
      </c>
      <c r="B5" s="151"/>
      <c r="C5" s="151" t="s">
        <v>197</v>
      </c>
      <c r="D5" s="151"/>
      <c r="E5" s="151"/>
      <c r="F5" s="151"/>
      <c r="G5" s="154"/>
      <c r="H5" s="154"/>
      <c r="I5" s="154"/>
      <c r="J5" s="154"/>
      <c r="K5" s="154"/>
      <c r="L5" s="151"/>
      <c r="M5" s="151"/>
      <c r="N5" s="151"/>
      <c r="O5" s="151"/>
      <c r="P5" s="151"/>
      <c r="Q5" s="151" t="s">
        <v>181</v>
      </c>
      <c r="R5" s="153" t="s">
        <v>182</v>
      </c>
      <c r="S5" s="151"/>
    </row>
    <row r="6" spans="1:29" x14ac:dyDescent="0.35">
      <c r="A6" s="153" t="s">
        <v>176</v>
      </c>
      <c r="B6" s="151"/>
      <c r="C6" s="151" t="s">
        <v>172</v>
      </c>
      <c r="D6" s="151"/>
      <c r="E6" s="151"/>
      <c r="F6" s="151"/>
      <c r="G6" s="154"/>
      <c r="H6" s="154"/>
      <c r="I6" s="154"/>
      <c r="J6" s="154"/>
      <c r="K6" s="154"/>
      <c r="L6" s="151"/>
      <c r="M6" s="151"/>
      <c r="N6" s="151"/>
      <c r="O6" s="151"/>
      <c r="P6" s="151"/>
      <c r="Q6" s="151" t="s">
        <v>180</v>
      </c>
      <c r="R6" s="153" t="s">
        <v>203</v>
      </c>
      <c r="S6" s="151"/>
    </row>
    <row r="7" spans="1:29" x14ac:dyDescent="0.35">
      <c r="A7" s="153" t="s">
        <v>177</v>
      </c>
      <c r="B7" s="151"/>
      <c r="C7" s="151" t="s">
        <v>174</v>
      </c>
      <c r="D7" s="151"/>
      <c r="E7" s="151"/>
      <c r="F7" s="151"/>
      <c r="G7" s="154"/>
      <c r="H7" s="154"/>
      <c r="I7" s="154"/>
      <c r="J7" s="154"/>
      <c r="K7" s="154"/>
      <c r="L7" s="151"/>
      <c r="M7" s="151"/>
      <c r="N7" s="151"/>
      <c r="O7" s="151"/>
      <c r="P7" s="151"/>
      <c r="Q7" s="151"/>
      <c r="R7" s="151"/>
      <c r="S7" s="151"/>
    </row>
    <row r="8" spans="1:29" s="11" customFormat="1" x14ac:dyDescent="0.35">
      <c r="A8" s="283" t="s">
        <v>3</v>
      </c>
      <c r="B8" s="283" t="s">
        <v>4</v>
      </c>
      <c r="C8" s="283" t="s">
        <v>23</v>
      </c>
      <c r="D8" s="283" t="s">
        <v>6</v>
      </c>
      <c r="E8" s="283"/>
      <c r="F8" s="283"/>
      <c r="G8" s="283"/>
      <c r="H8" s="283"/>
      <c r="I8" s="283"/>
      <c r="J8" s="283"/>
      <c r="K8" s="283"/>
      <c r="L8" s="283" t="s">
        <v>22</v>
      </c>
      <c r="M8" s="283"/>
      <c r="N8" s="283"/>
      <c r="O8" s="283"/>
      <c r="P8" s="155"/>
      <c r="Q8" s="156"/>
      <c r="R8" s="157"/>
      <c r="S8" s="155"/>
      <c r="AB8" s="11" t="s">
        <v>54</v>
      </c>
      <c r="AC8" s="11" t="s">
        <v>54</v>
      </c>
    </row>
    <row r="9" spans="1:29" s="11" customFormat="1" ht="43.5" x14ac:dyDescent="0.35">
      <c r="A9" s="283"/>
      <c r="B9" s="283"/>
      <c r="C9" s="283"/>
      <c r="D9" s="284" t="s">
        <v>7</v>
      </c>
      <c r="E9" s="284"/>
      <c r="F9" s="284"/>
      <c r="G9" s="284"/>
      <c r="H9" s="294" t="s">
        <v>12</v>
      </c>
      <c r="I9" s="294"/>
      <c r="J9" s="294"/>
      <c r="K9" s="294"/>
      <c r="L9" s="284" t="s">
        <v>13</v>
      </c>
      <c r="M9" s="284"/>
      <c r="N9" s="284" t="s">
        <v>204</v>
      </c>
      <c r="O9" s="284"/>
      <c r="P9" s="158"/>
      <c r="Q9" s="281" t="s">
        <v>17</v>
      </c>
      <c r="R9" s="282"/>
      <c r="S9" s="158" t="s">
        <v>167</v>
      </c>
      <c r="V9" s="11" t="s">
        <v>15</v>
      </c>
      <c r="AB9" s="11" t="s">
        <v>56</v>
      </c>
      <c r="AC9" s="11" t="s">
        <v>56</v>
      </c>
    </row>
    <row r="10" spans="1:29" s="11" customFormat="1" ht="44.25" customHeight="1" x14ac:dyDescent="0.35">
      <c r="A10" s="283"/>
      <c r="B10" s="283"/>
      <c r="C10" s="283"/>
      <c r="D10" s="159" t="s">
        <v>8</v>
      </c>
      <c r="E10" s="159" t="s">
        <v>9</v>
      </c>
      <c r="F10" s="159" t="s">
        <v>10</v>
      </c>
      <c r="G10" s="160" t="s">
        <v>11</v>
      </c>
      <c r="H10" s="160" t="s">
        <v>0</v>
      </c>
      <c r="I10" s="160" t="s">
        <v>1</v>
      </c>
      <c r="J10" s="160" t="s">
        <v>2</v>
      </c>
      <c r="K10" s="160" t="s">
        <v>11</v>
      </c>
      <c r="L10" s="159" t="s">
        <v>14</v>
      </c>
      <c r="M10" s="159" t="s">
        <v>21</v>
      </c>
      <c r="N10" s="159" t="s">
        <v>14</v>
      </c>
      <c r="O10" s="159" t="s">
        <v>21</v>
      </c>
      <c r="P10" s="161" t="s">
        <v>16</v>
      </c>
      <c r="Q10" s="159" t="s">
        <v>19</v>
      </c>
      <c r="R10" s="159" t="s">
        <v>20</v>
      </c>
      <c r="S10" s="161"/>
      <c r="V10" s="11" t="s">
        <v>14</v>
      </c>
      <c r="W10" s="11" t="s">
        <v>21</v>
      </c>
      <c r="AB10" s="11" t="s">
        <v>55</v>
      </c>
      <c r="AC10" s="11" t="s">
        <v>55</v>
      </c>
    </row>
    <row r="11" spans="1:29" x14ac:dyDescent="0.35">
      <c r="A11" s="179">
        <v>1</v>
      </c>
      <c r="B11" s="176" t="s">
        <v>5</v>
      </c>
      <c r="C11" s="176"/>
      <c r="D11" s="176"/>
      <c r="E11" s="176"/>
      <c r="F11" s="176"/>
      <c r="G11" s="201"/>
      <c r="H11" s="201"/>
      <c r="I11" s="201"/>
      <c r="J11" s="201"/>
      <c r="K11" s="201"/>
      <c r="L11" s="176"/>
      <c r="M11" s="176"/>
      <c r="N11" s="176"/>
      <c r="O11" s="176"/>
      <c r="P11" s="176" t="s">
        <v>67</v>
      </c>
      <c r="Q11" s="176"/>
      <c r="R11" s="176"/>
      <c r="S11" s="176"/>
      <c r="AB11" t="e">
        <f>CONCATENATE(#REF!,B11)</f>
        <v>#REF!</v>
      </c>
      <c r="AC11" t="str">
        <f>IF(L11="","",L11/M11)</f>
        <v/>
      </c>
    </row>
    <row r="12" spans="1:29" x14ac:dyDescent="0.35">
      <c r="A12" s="179">
        <v>2</v>
      </c>
      <c r="B12" s="176" t="s">
        <v>25</v>
      </c>
      <c r="C12" s="176"/>
      <c r="D12" s="176"/>
      <c r="E12" s="176"/>
      <c r="F12" s="176"/>
      <c r="G12" s="201"/>
      <c r="H12" s="201"/>
      <c r="I12" s="201"/>
      <c r="J12" s="201"/>
      <c r="K12" s="201"/>
      <c r="L12" s="176"/>
      <c r="M12" s="176"/>
      <c r="N12" s="176"/>
      <c r="O12" s="176"/>
      <c r="P12" s="176" t="s">
        <v>68</v>
      </c>
      <c r="Q12" s="176"/>
      <c r="R12" s="176"/>
      <c r="S12" s="176"/>
      <c r="AB12" t="e">
        <f>CONCATENATE(#REF!,B12)</f>
        <v>#REF!</v>
      </c>
      <c r="AC12" t="str">
        <f t="shared" ref="AC12:AC20" si="0">IF(L12="","",L12/M12)</f>
        <v/>
      </c>
    </row>
    <row r="13" spans="1:29" x14ac:dyDescent="0.35">
      <c r="A13" s="179">
        <v>3</v>
      </c>
      <c r="B13" s="176" t="s">
        <v>26</v>
      </c>
      <c r="C13" s="176"/>
      <c r="D13" s="176"/>
      <c r="E13" s="176"/>
      <c r="F13" s="176"/>
      <c r="G13" s="201"/>
      <c r="H13" s="201"/>
      <c r="I13" s="201"/>
      <c r="J13" s="201"/>
      <c r="K13" s="201"/>
      <c r="L13" s="176"/>
      <c r="M13" s="176"/>
      <c r="N13" s="176"/>
      <c r="O13" s="176"/>
      <c r="P13" s="176" t="s">
        <v>68</v>
      </c>
      <c r="Q13" s="176"/>
      <c r="R13" s="176"/>
      <c r="S13" s="176"/>
      <c r="AB13" t="e">
        <f>CONCATENATE(#REF!,B13)</f>
        <v>#REF!</v>
      </c>
      <c r="AC13" t="str">
        <f t="shared" si="0"/>
        <v/>
      </c>
    </row>
    <row r="14" spans="1:29" x14ac:dyDescent="0.35">
      <c r="A14" s="179">
        <v>4</v>
      </c>
      <c r="B14" s="176" t="s">
        <v>27</v>
      </c>
      <c r="C14" s="176"/>
      <c r="D14" s="176"/>
      <c r="E14" s="176"/>
      <c r="F14" s="176"/>
      <c r="G14" s="201"/>
      <c r="H14" s="201"/>
      <c r="I14" s="201"/>
      <c r="J14" s="201"/>
      <c r="K14" s="201"/>
      <c r="L14" s="176"/>
      <c r="M14" s="176"/>
      <c r="N14" s="176"/>
      <c r="O14" s="176"/>
      <c r="P14" s="176" t="s">
        <v>69</v>
      </c>
      <c r="Q14" s="176"/>
      <c r="R14" s="176"/>
      <c r="S14" s="176"/>
      <c r="AB14" t="e">
        <f>CONCATENATE(#REF!,B14)</f>
        <v>#REF!</v>
      </c>
      <c r="AC14" t="str">
        <f t="shared" si="0"/>
        <v/>
      </c>
    </row>
    <row r="15" spans="1:29" x14ac:dyDescent="0.35">
      <c r="A15" s="179">
        <v>5</v>
      </c>
      <c r="B15" s="176" t="s">
        <v>28</v>
      </c>
      <c r="C15" s="176"/>
      <c r="D15" s="176"/>
      <c r="E15" s="176"/>
      <c r="F15" s="176"/>
      <c r="G15" s="201"/>
      <c r="H15" s="201"/>
      <c r="I15" s="201"/>
      <c r="J15" s="201"/>
      <c r="K15" s="201"/>
      <c r="L15" s="176"/>
      <c r="M15" s="176"/>
      <c r="N15" s="176"/>
      <c r="O15" s="176"/>
      <c r="P15" s="176" t="s">
        <v>70</v>
      </c>
      <c r="Q15" s="176"/>
      <c r="R15" s="176"/>
      <c r="S15" s="176"/>
      <c r="AB15" t="e">
        <f>CONCATENATE(#REF!,B15)</f>
        <v>#REF!</v>
      </c>
      <c r="AC15" t="str">
        <f t="shared" si="0"/>
        <v/>
      </c>
    </row>
    <row r="16" spans="1:29" x14ac:dyDescent="0.35">
      <c r="A16" s="179">
        <v>6</v>
      </c>
      <c r="B16" s="176" t="s">
        <v>29</v>
      </c>
      <c r="C16" s="176"/>
      <c r="D16" s="176"/>
      <c r="E16" s="176"/>
      <c r="F16" s="176"/>
      <c r="G16" s="201"/>
      <c r="H16" s="201"/>
      <c r="I16" s="201"/>
      <c r="J16" s="201"/>
      <c r="K16" s="201"/>
      <c r="L16" s="176"/>
      <c r="M16" s="176"/>
      <c r="N16" s="176"/>
      <c r="O16" s="176"/>
      <c r="P16" s="176" t="s">
        <v>70</v>
      </c>
      <c r="Q16" s="176"/>
      <c r="R16" s="176"/>
      <c r="S16" s="176"/>
      <c r="AB16" t="e">
        <f>CONCATENATE(#REF!,B16)</f>
        <v>#REF!</v>
      </c>
      <c r="AC16" t="str">
        <f t="shared" si="0"/>
        <v/>
      </c>
    </row>
    <row r="17" spans="1:29" x14ac:dyDescent="0.35">
      <c r="A17" s="179">
        <v>7</v>
      </c>
      <c r="B17" s="176" t="s">
        <v>30</v>
      </c>
      <c r="C17" s="176"/>
      <c r="D17" s="176"/>
      <c r="E17" s="176"/>
      <c r="F17" s="176"/>
      <c r="G17" s="201"/>
      <c r="H17" s="201"/>
      <c r="I17" s="201"/>
      <c r="J17" s="201"/>
      <c r="K17" s="201"/>
      <c r="L17" s="176"/>
      <c r="M17" s="176"/>
      <c r="N17" s="176"/>
      <c r="O17" s="176"/>
      <c r="P17" s="176" t="s">
        <v>71</v>
      </c>
      <c r="Q17" s="176"/>
      <c r="R17" s="176"/>
      <c r="S17" s="176"/>
      <c r="AB17" t="e">
        <f>CONCATENATE(#REF!,B17)</f>
        <v>#REF!</v>
      </c>
      <c r="AC17" t="str">
        <f t="shared" si="0"/>
        <v/>
      </c>
    </row>
    <row r="18" spans="1:29" x14ac:dyDescent="0.35">
      <c r="A18" s="179">
        <v>8</v>
      </c>
      <c r="B18" s="176" t="s">
        <v>31</v>
      </c>
      <c r="C18" s="176"/>
      <c r="D18" s="176"/>
      <c r="E18" s="176"/>
      <c r="F18" s="176"/>
      <c r="G18" s="201"/>
      <c r="H18" s="201"/>
      <c r="I18" s="201"/>
      <c r="J18" s="201"/>
      <c r="K18" s="201"/>
      <c r="L18" s="176"/>
      <c r="M18" s="176"/>
      <c r="N18" s="176"/>
      <c r="O18" s="176"/>
      <c r="P18" s="176" t="s">
        <v>72</v>
      </c>
      <c r="Q18" s="176"/>
      <c r="R18" s="176"/>
      <c r="S18" s="176"/>
      <c r="AB18" t="e">
        <f>CONCATENATE(#REF!,B18)</f>
        <v>#REF!</v>
      </c>
      <c r="AC18" t="str">
        <f t="shared" si="0"/>
        <v/>
      </c>
    </row>
    <row r="19" spans="1:29" x14ac:dyDescent="0.35">
      <c r="A19" s="179">
        <v>9</v>
      </c>
      <c r="B19" s="176" t="s">
        <v>32</v>
      </c>
      <c r="C19" s="176"/>
      <c r="D19" s="176"/>
      <c r="E19" s="176"/>
      <c r="F19" s="176"/>
      <c r="G19" s="201"/>
      <c r="H19" s="201"/>
      <c r="I19" s="201"/>
      <c r="J19" s="201"/>
      <c r="K19" s="201"/>
      <c r="L19" s="176"/>
      <c r="M19" s="176"/>
      <c r="N19" s="176"/>
      <c r="O19" s="176"/>
      <c r="P19" s="176" t="s">
        <v>72</v>
      </c>
      <c r="Q19" s="176"/>
      <c r="R19" s="176"/>
      <c r="S19" s="176"/>
      <c r="AB19" t="e">
        <f>CONCATENATE(#REF!,B19)</f>
        <v>#REF!</v>
      </c>
      <c r="AC19" t="str">
        <f t="shared" si="0"/>
        <v/>
      </c>
    </row>
    <row r="20" spans="1:29" x14ac:dyDescent="0.35">
      <c r="A20" s="179">
        <v>10</v>
      </c>
      <c r="B20" s="176" t="s">
        <v>33</v>
      </c>
      <c r="C20" s="176"/>
      <c r="D20" s="176"/>
      <c r="E20" s="176"/>
      <c r="F20" s="176"/>
      <c r="G20" s="201"/>
      <c r="H20" s="201"/>
      <c r="I20" s="201"/>
      <c r="J20" s="201"/>
      <c r="K20" s="201"/>
      <c r="L20" s="176"/>
      <c r="M20" s="176"/>
      <c r="N20" s="176"/>
      <c r="O20" s="176"/>
      <c r="P20" s="176" t="s">
        <v>72</v>
      </c>
      <c r="Q20" s="176"/>
      <c r="R20" s="176"/>
      <c r="S20" s="176"/>
      <c r="AB20" t="e">
        <f>CONCATENATE(#REF!,B20)</f>
        <v>#REF!</v>
      </c>
      <c r="AC20" t="str">
        <f t="shared" si="0"/>
        <v/>
      </c>
    </row>
    <row r="21" spans="1:29" x14ac:dyDescent="0.35">
      <c r="A21" s="179">
        <v>11</v>
      </c>
      <c r="B21" s="200" t="s">
        <v>96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AB21" t="e">
        <f>CONCATENATE(#REF!,B22)</f>
        <v>#REF!</v>
      </c>
      <c r="AC21" t="str">
        <f t="shared" ref="AC21:AC37" si="1">IF(L22="","",L22/M22)</f>
        <v/>
      </c>
    </row>
    <row r="22" spans="1:29" x14ac:dyDescent="0.35">
      <c r="A22" s="179">
        <v>12</v>
      </c>
      <c r="B22" s="176" t="s">
        <v>34</v>
      </c>
      <c r="C22" s="176"/>
      <c r="D22" s="176"/>
      <c r="E22" s="176"/>
      <c r="F22" s="176"/>
      <c r="G22" s="201"/>
      <c r="H22" s="201"/>
      <c r="I22" s="201"/>
      <c r="J22" s="201"/>
      <c r="K22" s="201"/>
      <c r="L22" s="176"/>
      <c r="M22" s="176"/>
      <c r="N22" s="176"/>
      <c r="O22" s="176"/>
      <c r="P22" s="176" t="s">
        <v>73</v>
      </c>
      <c r="Q22" s="176"/>
      <c r="R22" s="176"/>
      <c r="S22" s="176"/>
      <c r="AB22" t="e">
        <f>CONCATENATE(#REF!,B23)</f>
        <v>#REF!</v>
      </c>
      <c r="AC22">
        <f t="shared" si="1"/>
        <v>47.699999999999996</v>
      </c>
    </row>
    <row r="23" spans="1:29" x14ac:dyDescent="0.35">
      <c r="A23" s="179">
        <v>13</v>
      </c>
      <c r="B23" s="176" t="s">
        <v>35</v>
      </c>
      <c r="C23" s="201">
        <v>153.80000000000001</v>
      </c>
      <c r="D23" s="201">
        <v>0</v>
      </c>
      <c r="E23" s="201">
        <v>0</v>
      </c>
      <c r="F23" s="201">
        <v>0</v>
      </c>
      <c r="G23" s="201">
        <f>C23+E23-F23</f>
        <v>153.80000000000001</v>
      </c>
      <c r="H23" s="201">
        <f>95.3-10</f>
        <v>85.3</v>
      </c>
      <c r="I23" s="201">
        <f>47.7+10</f>
        <v>57.7</v>
      </c>
      <c r="J23" s="201">
        <v>10.8</v>
      </c>
      <c r="K23" s="201">
        <f>SUM(H23:J23)</f>
        <v>153.80000000000001</v>
      </c>
      <c r="L23" s="201">
        <v>35107.199999999997</v>
      </c>
      <c r="M23" s="201">
        <v>736</v>
      </c>
      <c r="N23" s="201">
        <f>O23*I23</f>
        <v>45352.200000000004</v>
      </c>
      <c r="O23" s="201">
        <v>786</v>
      </c>
      <c r="P23" s="176" t="s">
        <v>74</v>
      </c>
      <c r="Q23" s="235">
        <f>615+1700</f>
        <v>2315</v>
      </c>
      <c r="R23" s="176"/>
      <c r="S23" s="176"/>
      <c r="V23">
        <v>11877.300000000001</v>
      </c>
      <c r="W23">
        <v>249</v>
      </c>
      <c r="AB23" t="e">
        <f>CONCATENATE(#REF!,B24)</f>
        <v>#REF!</v>
      </c>
      <c r="AC23">
        <f t="shared" si="1"/>
        <v>7.4999999999999991</v>
      </c>
    </row>
    <row r="24" spans="1:29" x14ac:dyDescent="0.35">
      <c r="A24" s="179">
        <v>14</v>
      </c>
      <c r="B24" s="176" t="s">
        <v>36</v>
      </c>
      <c r="C24" s="201">
        <v>8.6999999999999993</v>
      </c>
      <c r="D24" s="201">
        <v>0</v>
      </c>
      <c r="E24" s="201">
        <v>0</v>
      </c>
      <c r="F24" s="201">
        <v>0</v>
      </c>
      <c r="G24" s="201">
        <f>C24+E24-F24</f>
        <v>8.6999999999999993</v>
      </c>
      <c r="H24" s="201">
        <v>0</v>
      </c>
      <c r="I24" s="201">
        <v>7.5</v>
      </c>
      <c r="J24" s="201">
        <v>1.2</v>
      </c>
      <c r="K24" s="201">
        <f>SUM(H24:J24)</f>
        <v>8.6999999999999993</v>
      </c>
      <c r="L24" s="193">
        <v>57440.1</v>
      </c>
      <c r="M24" s="201">
        <v>7658.68</v>
      </c>
      <c r="N24" s="201">
        <f>O24*I24</f>
        <v>50790</v>
      </c>
      <c r="O24" s="201">
        <v>6772</v>
      </c>
      <c r="P24" s="176" t="s">
        <v>75</v>
      </c>
      <c r="Q24" s="235">
        <f>47+400</f>
        <v>447</v>
      </c>
      <c r="R24" s="176"/>
      <c r="S24" s="176"/>
      <c r="U24" s="27"/>
      <c r="V24">
        <v>7.5</v>
      </c>
      <c r="W24">
        <v>2196</v>
      </c>
      <c r="AB24" t="e">
        <f>CONCATENATE(#REF!,B25)</f>
        <v>#REF!</v>
      </c>
      <c r="AC24" t="str">
        <f t="shared" si="1"/>
        <v/>
      </c>
    </row>
    <row r="25" spans="1:29" x14ac:dyDescent="0.35">
      <c r="A25" s="179">
        <v>15</v>
      </c>
      <c r="B25" s="176" t="s">
        <v>37</v>
      </c>
      <c r="C25" s="176"/>
      <c r="D25" s="176"/>
      <c r="E25" s="176"/>
      <c r="F25" s="176"/>
      <c r="G25" s="201"/>
      <c r="H25" s="201"/>
      <c r="I25" s="201"/>
      <c r="J25" s="201"/>
      <c r="K25" s="201"/>
      <c r="L25" s="176"/>
      <c r="M25" s="176"/>
      <c r="N25" s="176"/>
      <c r="O25" s="176"/>
      <c r="P25" s="176" t="s">
        <v>74</v>
      </c>
      <c r="Q25" s="176"/>
      <c r="R25" s="176"/>
      <c r="S25" s="176"/>
      <c r="AB25" t="e">
        <f>CONCATENATE(#REF!,B26)</f>
        <v>#REF!</v>
      </c>
      <c r="AC25" t="str">
        <f t="shared" si="1"/>
        <v/>
      </c>
    </row>
    <row r="26" spans="1:29" x14ac:dyDescent="0.35">
      <c r="A26" s="179">
        <v>16</v>
      </c>
      <c r="B26" s="176" t="s">
        <v>38</v>
      </c>
      <c r="C26" s="176"/>
      <c r="D26" s="176"/>
      <c r="E26" s="176"/>
      <c r="F26" s="176"/>
      <c r="G26" s="201"/>
      <c r="H26" s="201"/>
      <c r="I26" s="201"/>
      <c r="J26" s="201"/>
      <c r="K26" s="201"/>
      <c r="L26" s="176"/>
      <c r="M26" s="176"/>
      <c r="N26" s="176"/>
      <c r="O26" s="176"/>
      <c r="P26" s="176" t="s">
        <v>76</v>
      </c>
      <c r="Q26" s="176"/>
      <c r="R26" s="176"/>
      <c r="S26" s="176"/>
      <c r="AB26" t="e">
        <f>CONCATENATE(#REF!,B27)</f>
        <v>#REF!</v>
      </c>
      <c r="AC26" t="str">
        <f t="shared" si="1"/>
        <v/>
      </c>
    </row>
    <row r="27" spans="1:29" x14ac:dyDescent="0.35">
      <c r="A27" s="179">
        <v>17</v>
      </c>
      <c r="B27" s="176" t="s">
        <v>39</v>
      </c>
      <c r="C27" s="176"/>
      <c r="D27" s="176"/>
      <c r="E27" s="176"/>
      <c r="F27" s="176"/>
      <c r="G27" s="201"/>
      <c r="H27" s="201"/>
      <c r="I27" s="201"/>
      <c r="J27" s="201"/>
      <c r="K27" s="201"/>
      <c r="L27" s="176"/>
      <c r="M27" s="176"/>
      <c r="N27" s="176"/>
      <c r="O27" s="176"/>
      <c r="P27" s="176" t="s">
        <v>77</v>
      </c>
      <c r="Q27" s="176"/>
      <c r="R27" s="176"/>
      <c r="S27" s="176"/>
      <c r="AB27" t="e">
        <f>CONCATENATE(#REF!,B28)</f>
        <v>#REF!</v>
      </c>
      <c r="AC27" t="str">
        <f t="shared" si="1"/>
        <v/>
      </c>
    </row>
    <row r="28" spans="1:29" x14ac:dyDescent="0.35">
      <c r="A28" s="179">
        <v>18</v>
      </c>
      <c r="B28" s="176" t="s">
        <v>40</v>
      </c>
      <c r="C28" s="176"/>
      <c r="D28" s="176"/>
      <c r="E28" s="176"/>
      <c r="F28" s="176"/>
      <c r="G28" s="201"/>
      <c r="H28" s="201"/>
      <c r="I28" s="201"/>
      <c r="J28" s="201"/>
      <c r="K28" s="201"/>
      <c r="L28" s="176"/>
      <c r="M28" s="176"/>
      <c r="N28" s="176"/>
      <c r="O28" s="176"/>
      <c r="P28" s="176" t="s">
        <v>78</v>
      </c>
      <c r="Q28" s="176"/>
      <c r="R28" s="176"/>
      <c r="S28" s="176"/>
      <c r="AB28" t="e">
        <f>CONCATENATE(#REF!,B29)</f>
        <v>#REF!</v>
      </c>
      <c r="AC28" t="str">
        <f t="shared" si="1"/>
        <v/>
      </c>
    </row>
    <row r="29" spans="1:29" x14ac:dyDescent="0.35">
      <c r="A29" s="179">
        <v>19</v>
      </c>
      <c r="B29" s="176" t="s">
        <v>41</v>
      </c>
      <c r="C29" s="176"/>
      <c r="D29" s="176"/>
      <c r="E29" s="176"/>
      <c r="F29" s="176"/>
      <c r="G29" s="201"/>
      <c r="H29" s="201"/>
      <c r="I29" s="201"/>
      <c r="J29" s="201"/>
      <c r="K29" s="201"/>
      <c r="L29" s="176"/>
      <c r="M29" s="176"/>
      <c r="N29" s="176"/>
      <c r="O29" s="176"/>
      <c r="P29" s="176" t="s">
        <v>79</v>
      </c>
      <c r="Q29" s="176"/>
      <c r="R29" s="176"/>
      <c r="S29" s="176"/>
      <c r="AB29" t="e">
        <f>CONCATENATE(#REF!,B30)</f>
        <v>#REF!</v>
      </c>
      <c r="AC29" t="str">
        <f t="shared" si="1"/>
        <v/>
      </c>
    </row>
    <row r="30" spans="1:29" x14ac:dyDescent="0.35">
      <c r="A30" s="179">
        <v>20</v>
      </c>
      <c r="B30" s="176" t="s">
        <v>42</v>
      </c>
      <c r="C30" s="176"/>
      <c r="D30" s="176"/>
      <c r="E30" s="176"/>
      <c r="F30" s="176"/>
      <c r="G30" s="201"/>
      <c r="H30" s="201"/>
      <c r="I30" s="201"/>
      <c r="J30" s="201"/>
      <c r="K30" s="201"/>
      <c r="L30" s="176"/>
      <c r="M30" s="176"/>
      <c r="N30" s="176"/>
      <c r="O30" s="176"/>
      <c r="P30" s="176" t="s">
        <v>80</v>
      </c>
      <c r="Q30" s="176"/>
      <c r="R30" s="176"/>
      <c r="S30" s="176"/>
      <c r="AB30" t="e">
        <f>CONCATENATE(#REF!,B31)</f>
        <v>#REF!</v>
      </c>
      <c r="AC30" t="str">
        <f t="shared" si="1"/>
        <v/>
      </c>
    </row>
    <row r="31" spans="1:29" x14ac:dyDescent="0.35">
      <c r="A31" s="179">
        <v>21</v>
      </c>
      <c r="B31" s="176" t="s">
        <v>43</v>
      </c>
      <c r="C31" s="176"/>
      <c r="D31" s="176"/>
      <c r="E31" s="176"/>
      <c r="F31" s="176"/>
      <c r="G31" s="201"/>
      <c r="H31" s="201"/>
      <c r="I31" s="201"/>
      <c r="J31" s="201"/>
      <c r="K31" s="201"/>
      <c r="L31" s="176"/>
      <c r="M31" s="176"/>
      <c r="N31" s="176"/>
      <c r="O31" s="176"/>
      <c r="P31" s="176" t="s">
        <v>69</v>
      </c>
      <c r="Q31" s="176"/>
      <c r="R31" s="176"/>
      <c r="S31" s="176"/>
      <c r="AB31" t="e">
        <f>CONCATENATE(#REF!,B32)</f>
        <v>#REF!</v>
      </c>
      <c r="AC31" t="str">
        <f t="shared" si="1"/>
        <v/>
      </c>
    </row>
    <row r="32" spans="1:29" x14ac:dyDescent="0.35">
      <c r="A32" s="179">
        <v>22</v>
      </c>
      <c r="B32" s="176" t="s">
        <v>44</v>
      </c>
      <c r="C32" s="176"/>
      <c r="D32" s="176"/>
      <c r="E32" s="176"/>
      <c r="F32" s="176"/>
      <c r="G32" s="201"/>
      <c r="H32" s="201"/>
      <c r="I32" s="201"/>
      <c r="J32" s="201"/>
      <c r="K32" s="201"/>
      <c r="L32" s="176"/>
      <c r="M32" s="176"/>
      <c r="N32" s="176"/>
      <c r="O32" s="176"/>
      <c r="P32" s="176" t="s">
        <v>81</v>
      </c>
      <c r="Q32" s="176"/>
      <c r="R32" s="176"/>
      <c r="S32" s="176"/>
      <c r="AB32" t="e">
        <f>CONCATENATE(#REF!,B33)</f>
        <v>#REF!</v>
      </c>
      <c r="AC32" t="str">
        <f t="shared" si="1"/>
        <v/>
      </c>
    </row>
    <row r="33" spans="1:29" x14ac:dyDescent="0.35">
      <c r="A33" s="179">
        <v>23</v>
      </c>
      <c r="B33" s="176" t="s">
        <v>45</v>
      </c>
      <c r="C33" s="176"/>
      <c r="D33" s="176"/>
      <c r="E33" s="176"/>
      <c r="F33" s="176"/>
      <c r="G33" s="201"/>
      <c r="H33" s="201"/>
      <c r="I33" s="201"/>
      <c r="J33" s="201"/>
      <c r="K33" s="201"/>
      <c r="L33" s="176"/>
      <c r="M33" s="176"/>
      <c r="N33" s="176"/>
      <c r="O33" s="176"/>
      <c r="P33" s="176" t="s">
        <v>81</v>
      </c>
      <c r="Q33" s="176"/>
      <c r="R33" s="176"/>
      <c r="S33" s="176"/>
      <c r="AB33" t="e">
        <f>CONCATENATE(#REF!,B34)</f>
        <v>#REF!</v>
      </c>
      <c r="AC33" t="str">
        <f t="shared" si="1"/>
        <v/>
      </c>
    </row>
    <row r="34" spans="1:29" x14ac:dyDescent="0.35">
      <c r="A34" s="179">
        <v>24</v>
      </c>
      <c r="B34" s="176" t="s">
        <v>46</v>
      </c>
      <c r="C34" s="176"/>
      <c r="D34" s="176"/>
      <c r="E34" s="176"/>
      <c r="F34" s="176"/>
      <c r="G34" s="201"/>
      <c r="H34" s="201"/>
      <c r="I34" s="201"/>
      <c r="J34" s="201"/>
      <c r="K34" s="201"/>
      <c r="L34" s="176"/>
      <c r="M34" s="176"/>
      <c r="N34" s="176"/>
      <c r="O34" s="176"/>
      <c r="P34" s="176" t="s">
        <v>72</v>
      </c>
      <c r="Q34" s="176"/>
      <c r="R34" s="176"/>
      <c r="S34" s="176"/>
      <c r="AB34" t="e">
        <f>CONCATENATE(#REF!,B35)</f>
        <v>#REF!</v>
      </c>
      <c r="AC34" t="str">
        <f t="shared" si="1"/>
        <v/>
      </c>
    </row>
    <row r="35" spans="1:29" x14ac:dyDescent="0.35">
      <c r="A35" s="179">
        <v>25</v>
      </c>
      <c r="B35" s="176" t="s">
        <v>47</v>
      </c>
      <c r="C35" s="176"/>
      <c r="D35" s="176"/>
      <c r="E35" s="176"/>
      <c r="F35" s="176"/>
      <c r="G35" s="201"/>
      <c r="H35" s="201"/>
      <c r="I35" s="201"/>
      <c r="J35" s="201"/>
      <c r="K35" s="201"/>
      <c r="L35" s="176"/>
      <c r="M35" s="176"/>
      <c r="N35" s="176"/>
      <c r="O35" s="176"/>
      <c r="P35" s="176" t="s">
        <v>75</v>
      </c>
      <c r="Q35" s="176"/>
      <c r="R35" s="176"/>
      <c r="S35" s="176"/>
      <c r="AB35" t="e">
        <f>CONCATENATE(#REF!,B36)</f>
        <v>#REF!</v>
      </c>
      <c r="AC35" t="str">
        <f t="shared" si="1"/>
        <v/>
      </c>
    </row>
    <row r="36" spans="1:29" x14ac:dyDescent="0.35">
      <c r="A36" s="179">
        <v>26</v>
      </c>
      <c r="B36" s="176" t="s">
        <v>48</v>
      </c>
      <c r="C36" s="176"/>
      <c r="D36" s="176"/>
      <c r="E36" s="176"/>
      <c r="F36" s="176"/>
      <c r="G36" s="201"/>
      <c r="H36" s="201"/>
      <c r="I36" s="201"/>
      <c r="J36" s="201"/>
      <c r="K36" s="201"/>
      <c r="L36" s="176"/>
      <c r="M36" s="176"/>
      <c r="N36" s="176"/>
      <c r="O36" s="176"/>
      <c r="P36" s="176" t="s">
        <v>72</v>
      </c>
      <c r="Q36" s="176"/>
      <c r="R36" s="176"/>
      <c r="S36" s="176"/>
      <c r="AB36" t="e">
        <f>CONCATENATE(#REF!,B37)</f>
        <v>#REF!</v>
      </c>
      <c r="AC36" t="str">
        <f t="shared" si="1"/>
        <v/>
      </c>
    </row>
    <row r="37" spans="1:29" x14ac:dyDescent="0.35">
      <c r="A37" s="179">
        <v>27</v>
      </c>
      <c r="B37" s="176" t="s">
        <v>49</v>
      </c>
      <c r="C37" s="176"/>
      <c r="D37" s="176"/>
      <c r="E37" s="176"/>
      <c r="F37" s="176"/>
      <c r="G37" s="201"/>
      <c r="H37" s="201"/>
      <c r="I37" s="201"/>
      <c r="J37" s="201"/>
      <c r="K37" s="201"/>
      <c r="L37" s="176"/>
      <c r="M37" s="176"/>
      <c r="N37" s="176"/>
      <c r="O37" s="176"/>
      <c r="P37" s="176" t="s">
        <v>84</v>
      </c>
      <c r="Q37" s="176"/>
      <c r="R37" s="176"/>
      <c r="S37" s="176"/>
      <c r="AB37" t="e">
        <f>CONCATENATE(#REF!,B38)</f>
        <v>#REF!</v>
      </c>
      <c r="AC37" t="str">
        <f t="shared" si="1"/>
        <v/>
      </c>
    </row>
    <row r="38" spans="1:29" x14ac:dyDescent="0.35">
      <c r="A38" s="179">
        <v>28</v>
      </c>
      <c r="B38" s="176" t="s">
        <v>50</v>
      </c>
      <c r="C38" s="176"/>
      <c r="D38" s="176"/>
      <c r="E38" s="176"/>
      <c r="F38" s="176"/>
      <c r="G38" s="201"/>
      <c r="H38" s="201"/>
      <c r="I38" s="201"/>
      <c r="J38" s="201"/>
      <c r="K38" s="201"/>
      <c r="L38" s="176"/>
      <c r="M38" s="176"/>
      <c r="N38" s="176"/>
      <c r="O38" s="176"/>
      <c r="P38" s="176" t="s">
        <v>77</v>
      </c>
      <c r="Q38" s="176"/>
      <c r="R38" s="176"/>
      <c r="S38" s="176"/>
      <c r="AB38" t="e">
        <f>CONCATENATE(#REF!,#REF!)</f>
        <v>#REF!</v>
      </c>
    </row>
    <row r="39" spans="1:29" x14ac:dyDescent="0.35">
      <c r="A39" s="179">
        <v>29</v>
      </c>
      <c r="B39" s="176" t="s">
        <v>51</v>
      </c>
      <c r="C39" s="176"/>
      <c r="D39" s="176"/>
      <c r="E39" s="176"/>
      <c r="F39" s="176"/>
      <c r="G39" s="201"/>
      <c r="H39" s="201"/>
      <c r="I39" s="201"/>
      <c r="J39" s="201"/>
      <c r="K39" s="201"/>
      <c r="L39" s="176"/>
      <c r="M39" s="176"/>
      <c r="N39" s="176"/>
      <c r="O39" s="176"/>
      <c r="P39" s="176" t="s">
        <v>82</v>
      </c>
      <c r="Q39" s="176"/>
      <c r="R39" s="176"/>
      <c r="S39" s="176"/>
      <c r="AB39" t="e">
        <f>CONCATENATE(#REF!,B40)</f>
        <v>#REF!</v>
      </c>
      <c r="AC39" t="str">
        <f>IF(L40="","",L40/M40)</f>
        <v/>
      </c>
    </row>
    <row r="40" spans="1:29" x14ac:dyDescent="0.35">
      <c r="A40" s="179">
        <v>30</v>
      </c>
      <c r="B40" s="176" t="s">
        <v>52</v>
      </c>
      <c r="C40" s="176"/>
      <c r="D40" s="176"/>
      <c r="E40" s="176"/>
      <c r="F40" s="176"/>
      <c r="G40" s="201"/>
      <c r="H40" s="201"/>
      <c r="I40" s="201"/>
      <c r="J40" s="201"/>
      <c r="K40" s="201"/>
      <c r="L40" s="176"/>
      <c r="M40" s="176"/>
      <c r="N40" s="176"/>
      <c r="O40" s="176"/>
      <c r="P40" s="176" t="s">
        <v>83</v>
      </c>
      <c r="Q40" s="176"/>
      <c r="R40" s="176"/>
      <c r="S40" s="176"/>
    </row>
    <row r="41" spans="1:29" x14ac:dyDescent="0.35">
      <c r="A41" s="151"/>
      <c r="B41" s="151"/>
      <c r="C41" s="151"/>
      <c r="D41" s="151"/>
      <c r="E41" s="151"/>
      <c r="F41" s="151"/>
      <c r="G41" s="152"/>
      <c r="H41" s="152"/>
      <c r="I41" s="152"/>
      <c r="J41" s="152"/>
      <c r="K41" s="152"/>
      <c r="L41" s="151"/>
      <c r="M41" s="151"/>
      <c r="N41" s="151"/>
      <c r="O41" s="151"/>
      <c r="P41" s="151"/>
      <c r="Q41" s="151"/>
      <c r="R41" s="151"/>
      <c r="S41" s="151"/>
    </row>
    <row r="42" spans="1:29" x14ac:dyDescent="0.35">
      <c r="A42" s="151"/>
      <c r="B42" s="151"/>
      <c r="C42" s="151"/>
      <c r="D42" s="151"/>
      <c r="E42" s="151"/>
      <c r="F42" s="151"/>
      <c r="G42" s="152"/>
      <c r="H42" s="152"/>
      <c r="I42" s="152"/>
      <c r="J42" s="152"/>
      <c r="K42" s="152"/>
      <c r="L42" s="151"/>
      <c r="M42" s="151"/>
      <c r="N42" s="151"/>
      <c r="O42" s="151"/>
      <c r="P42" s="286" t="s">
        <v>110</v>
      </c>
      <c r="Q42" s="286"/>
      <c r="R42" s="286"/>
      <c r="S42" s="151"/>
    </row>
    <row r="43" spans="1:29" x14ac:dyDescent="0.35">
      <c r="A43" s="151"/>
      <c r="B43" s="151"/>
      <c r="C43" s="151"/>
      <c r="D43" s="151"/>
      <c r="E43" s="151"/>
      <c r="F43" s="151"/>
      <c r="G43" s="152"/>
      <c r="H43" s="152"/>
      <c r="I43" s="152"/>
      <c r="J43" s="152"/>
      <c r="K43" s="152"/>
      <c r="L43" s="151"/>
      <c r="M43" s="151"/>
      <c r="N43" s="151"/>
      <c r="O43" s="151"/>
      <c r="P43" s="190"/>
      <c r="Q43" s="190"/>
      <c r="R43" s="190"/>
      <c r="S43" s="151"/>
    </row>
    <row r="44" spans="1:29" x14ac:dyDescent="0.35">
      <c r="A44" s="151"/>
      <c r="B44" s="151"/>
      <c r="C44" s="151"/>
      <c r="D44" s="151"/>
      <c r="E44" s="151"/>
      <c r="F44" s="151"/>
      <c r="G44" s="152"/>
      <c r="H44" s="152"/>
      <c r="I44" s="152"/>
      <c r="J44" s="152"/>
      <c r="K44" s="152"/>
      <c r="L44" s="151"/>
      <c r="M44" s="151"/>
      <c r="N44" s="151"/>
      <c r="O44" s="151"/>
      <c r="P44" s="190"/>
      <c r="Q44" s="190"/>
      <c r="R44" s="190"/>
      <c r="S44" s="151"/>
    </row>
    <row r="45" spans="1:29" x14ac:dyDescent="0.35">
      <c r="A45" s="151"/>
      <c r="B45" s="151"/>
      <c r="C45" s="151"/>
      <c r="D45" s="151"/>
      <c r="E45" s="151"/>
      <c r="F45" s="151"/>
      <c r="G45" s="152"/>
      <c r="H45" s="152"/>
      <c r="I45" s="152"/>
      <c r="J45" s="152"/>
      <c r="K45" s="152"/>
      <c r="L45" s="151"/>
      <c r="M45" s="151"/>
      <c r="N45" s="151"/>
      <c r="O45" s="151"/>
      <c r="P45" s="293" t="s">
        <v>153</v>
      </c>
      <c r="Q45" s="293"/>
      <c r="R45" s="293"/>
      <c r="S45" s="151"/>
    </row>
    <row r="46" spans="1:29" x14ac:dyDescent="0.35">
      <c r="A46" s="151"/>
      <c r="B46" s="151"/>
      <c r="C46" s="151"/>
      <c r="D46" s="151"/>
      <c r="E46" s="151"/>
      <c r="F46" s="151"/>
      <c r="G46" s="152"/>
      <c r="H46" s="152"/>
      <c r="I46" s="152"/>
      <c r="J46" s="152"/>
      <c r="K46" s="152"/>
      <c r="L46" s="151"/>
      <c r="M46" s="151"/>
      <c r="N46" s="151"/>
      <c r="O46" s="151"/>
      <c r="P46" s="286" t="s">
        <v>154</v>
      </c>
      <c r="Q46" s="286"/>
      <c r="R46" s="286"/>
      <c r="S46" s="151"/>
    </row>
  </sheetData>
  <mergeCells count="14">
    <mergeCell ref="P42:R42"/>
    <mergeCell ref="P45:R45"/>
    <mergeCell ref="P46:R46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5" right="0.25" top="0.25" bottom="0.5" header="0.3" footer="0.3"/>
  <pageSetup paperSize="5" scale="75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A1:AC47"/>
  <sheetViews>
    <sheetView topLeftCell="A6" zoomScale="90" zoomScaleNormal="90" workbookViewId="0">
      <selection activeCell="O24" sqref="O24"/>
    </sheetView>
  </sheetViews>
  <sheetFormatPr defaultRowHeight="14.5" x14ac:dyDescent="0.35"/>
  <cols>
    <col min="1" max="1" width="5.7265625" customWidth="1"/>
    <col min="2" max="2" width="18.26953125" customWidth="1"/>
    <col min="3" max="3" width="12" customWidth="1"/>
    <col min="4" max="4" width="9.7265625" customWidth="1"/>
    <col min="5" max="5" width="10.26953125" customWidth="1"/>
    <col min="6" max="6" width="12.54296875" style="32" bestFit="1" customWidth="1"/>
    <col min="7" max="10" width="9.1796875" style="32"/>
    <col min="11" max="11" width="8.26953125" style="32" customWidth="1"/>
    <col min="12" max="12" width="12.1796875" customWidth="1"/>
    <col min="13" max="13" width="10" bestFit="1" customWidth="1"/>
    <col min="14" max="14" width="11.453125" customWidth="1"/>
    <col min="15" max="15" width="10.7265625" customWidth="1"/>
    <col min="16" max="16" width="15.26953125" bestFit="1" customWidth="1"/>
    <col min="17" max="17" width="10.453125" customWidth="1"/>
    <col min="18" max="18" width="8.7265625" customWidth="1"/>
    <col min="19" max="19" width="5.453125" customWidth="1"/>
    <col min="20" max="20" width="10" bestFit="1" customWidth="1"/>
    <col min="21" max="21" width="12" bestFit="1" customWidth="1"/>
    <col min="28" max="29" width="9.1796875" hidden="1" customWidth="1"/>
  </cols>
  <sheetData>
    <row r="1" spans="1:29" x14ac:dyDescent="0.35">
      <c r="A1" s="1" t="s">
        <v>57</v>
      </c>
      <c r="F1" s="30"/>
      <c r="G1" s="30"/>
      <c r="H1" s="30"/>
      <c r="I1" s="30"/>
      <c r="J1" s="30"/>
      <c r="K1" s="30"/>
    </row>
    <row r="2" spans="1:29" x14ac:dyDescent="0.35">
      <c r="A2" s="2"/>
      <c r="F2" s="30"/>
      <c r="G2" s="30"/>
      <c r="H2" s="30"/>
      <c r="I2" s="30"/>
      <c r="J2" s="30"/>
      <c r="K2" s="30"/>
    </row>
    <row r="3" spans="1:29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29" x14ac:dyDescent="0.35">
      <c r="A4" s="1"/>
      <c r="F4" s="30"/>
      <c r="G4" s="30"/>
      <c r="H4" s="30"/>
      <c r="I4" s="30"/>
      <c r="J4" s="30"/>
      <c r="K4" s="30"/>
      <c r="R4" s="5"/>
      <c r="S4" s="6"/>
    </row>
    <row r="5" spans="1:29" x14ac:dyDescent="0.35">
      <c r="A5" s="1" t="s">
        <v>175</v>
      </c>
      <c r="C5" t="s">
        <v>198</v>
      </c>
      <c r="F5" s="30"/>
      <c r="G5" s="30"/>
      <c r="H5" s="30"/>
      <c r="I5" s="30"/>
      <c r="J5" s="30"/>
      <c r="K5" s="30"/>
      <c r="N5" s="34"/>
      <c r="Q5" t="s">
        <v>181</v>
      </c>
      <c r="R5" s="1" t="s">
        <v>182</v>
      </c>
    </row>
    <row r="6" spans="1:29" x14ac:dyDescent="0.35">
      <c r="A6" s="1" t="s">
        <v>176</v>
      </c>
      <c r="C6" t="s">
        <v>172</v>
      </c>
      <c r="F6" s="30"/>
      <c r="G6" s="30"/>
      <c r="H6" s="30"/>
      <c r="I6" s="30"/>
      <c r="J6" s="30"/>
      <c r="K6" s="30"/>
      <c r="N6" s="34"/>
      <c r="Q6" t="s">
        <v>180</v>
      </c>
      <c r="R6" s="1" t="s">
        <v>203</v>
      </c>
    </row>
    <row r="7" spans="1:29" x14ac:dyDescent="0.35">
      <c r="A7" s="1" t="s">
        <v>177</v>
      </c>
      <c r="C7" t="s">
        <v>174</v>
      </c>
      <c r="F7" s="30"/>
      <c r="G7" s="30"/>
      <c r="H7" s="30"/>
      <c r="I7" s="30"/>
      <c r="J7" s="30"/>
      <c r="K7" s="30"/>
    </row>
    <row r="8" spans="1:29" s="11" customFormat="1" x14ac:dyDescent="0.35">
      <c r="A8" s="290" t="s">
        <v>3</v>
      </c>
      <c r="B8" s="290" t="s">
        <v>4</v>
      </c>
      <c r="C8" s="290" t="s">
        <v>23</v>
      </c>
      <c r="D8" s="290" t="s">
        <v>6</v>
      </c>
      <c r="E8" s="290"/>
      <c r="F8" s="290"/>
      <c r="G8" s="290"/>
      <c r="H8" s="290"/>
      <c r="I8" s="290"/>
      <c r="J8" s="290"/>
      <c r="K8" s="290"/>
      <c r="L8" s="290" t="s">
        <v>22</v>
      </c>
      <c r="M8" s="290"/>
      <c r="N8" s="290"/>
      <c r="O8" s="290"/>
      <c r="P8" s="8"/>
      <c r="Q8" s="9"/>
      <c r="R8" s="10"/>
      <c r="S8" s="8"/>
      <c r="AB8" s="11" t="s">
        <v>54</v>
      </c>
      <c r="AC8" s="11" t="s">
        <v>54</v>
      </c>
    </row>
    <row r="9" spans="1:29" s="11" customFormat="1" ht="43.5" x14ac:dyDescent="0.35">
      <c r="A9" s="290"/>
      <c r="B9" s="290"/>
      <c r="C9" s="290"/>
      <c r="D9" s="291" t="s">
        <v>7</v>
      </c>
      <c r="E9" s="291"/>
      <c r="F9" s="291"/>
      <c r="G9" s="291"/>
      <c r="H9" s="297" t="s">
        <v>12</v>
      </c>
      <c r="I9" s="297"/>
      <c r="J9" s="297"/>
      <c r="K9" s="297"/>
      <c r="L9" s="291" t="s">
        <v>13</v>
      </c>
      <c r="M9" s="291"/>
      <c r="N9" s="291" t="s">
        <v>15</v>
      </c>
      <c r="O9" s="291"/>
      <c r="P9" s="12"/>
      <c r="Q9" s="288" t="s">
        <v>17</v>
      </c>
      <c r="R9" s="289"/>
      <c r="S9" s="12" t="s">
        <v>104</v>
      </c>
      <c r="V9" s="11" t="s">
        <v>15</v>
      </c>
      <c r="AB9" s="11" t="s">
        <v>56</v>
      </c>
      <c r="AC9" s="11" t="s">
        <v>56</v>
      </c>
    </row>
    <row r="10" spans="1:29" s="11" customFormat="1" ht="43.5" x14ac:dyDescent="0.35">
      <c r="A10" s="290"/>
      <c r="B10" s="290"/>
      <c r="C10" s="290"/>
      <c r="D10" s="13" t="s">
        <v>8</v>
      </c>
      <c r="E10" s="13" t="s">
        <v>9</v>
      </c>
      <c r="F10" s="35" t="s">
        <v>10</v>
      </c>
      <c r="G10" s="35" t="s">
        <v>11</v>
      </c>
      <c r="H10" s="35" t="s">
        <v>0</v>
      </c>
      <c r="I10" s="35" t="s">
        <v>1</v>
      </c>
      <c r="J10" s="35" t="s">
        <v>2</v>
      </c>
      <c r="K10" s="35" t="s">
        <v>11</v>
      </c>
      <c r="L10" s="13" t="s">
        <v>14</v>
      </c>
      <c r="M10" s="13" t="s">
        <v>21</v>
      </c>
      <c r="N10" s="13" t="s">
        <v>14</v>
      </c>
      <c r="O10" s="13" t="s">
        <v>21</v>
      </c>
      <c r="P10" s="14" t="s">
        <v>16</v>
      </c>
      <c r="Q10" s="13" t="s">
        <v>19</v>
      </c>
      <c r="R10" s="13" t="s">
        <v>20</v>
      </c>
      <c r="S10" s="14"/>
      <c r="V10" s="11" t="s">
        <v>14</v>
      </c>
      <c r="W10" s="11" t="s">
        <v>21</v>
      </c>
      <c r="AB10" s="11" t="s">
        <v>55</v>
      </c>
      <c r="AC10" s="11" t="s">
        <v>55</v>
      </c>
    </row>
    <row r="11" spans="1:29" x14ac:dyDescent="0.35">
      <c r="A11" s="89">
        <v>1</v>
      </c>
      <c r="B11" s="82" t="s">
        <v>5</v>
      </c>
      <c r="C11" s="82"/>
      <c r="D11" s="82"/>
      <c r="E11" s="82"/>
      <c r="F11" s="83"/>
      <c r="G11" s="83"/>
      <c r="H11" s="83"/>
      <c r="I11" s="83"/>
      <c r="J11" s="83"/>
      <c r="K11" s="83"/>
      <c r="L11" s="82"/>
      <c r="M11" s="82"/>
      <c r="N11" s="82"/>
      <c r="O11" s="82"/>
      <c r="P11" s="82" t="s">
        <v>67</v>
      </c>
      <c r="Q11" s="82"/>
      <c r="R11" s="82"/>
      <c r="S11" s="82"/>
      <c r="AB11" t="e">
        <f>CONCATENATE(#REF!,B11)</f>
        <v>#REF!</v>
      </c>
      <c r="AC11" t="str">
        <f>IF(L11="","",L11/M11)</f>
        <v/>
      </c>
    </row>
    <row r="12" spans="1:29" x14ac:dyDescent="0.35">
      <c r="A12" s="89">
        <v>2</v>
      </c>
      <c r="B12" s="82" t="s">
        <v>25</v>
      </c>
      <c r="C12" s="82"/>
      <c r="D12" s="82"/>
      <c r="E12" s="82"/>
      <c r="F12" s="83"/>
      <c r="G12" s="83"/>
      <c r="H12" s="83"/>
      <c r="I12" s="83"/>
      <c r="J12" s="83"/>
      <c r="K12" s="83"/>
      <c r="L12" s="82"/>
      <c r="M12" s="82"/>
      <c r="N12" s="82"/>
      <c r="O12" s="82"/>
      <c r="P12" s="82" t="s">
        <v>68</v>
      </c>
      <c r="Q12" s="82"/>
      <c r="R12" s="82"/>
      <c r="S12" s="82"/>
      <c r="AB12" t="e">
        <f>CONCATENATE(#REF!,B12)</f>
        <v>#REF!</v>
      </c>
      <c r="AC12" t="str">
        <f t="shared" ref="AC12:AC20" si="0">IF(L12="","",L12/M12)</f>
        <v/>
      </c>
    </row>
    <row r="13" spans="1:29" x14ac:dyDescent="0.35">
      <c r="A13" s="89">
        <v>3</v>
      </c>
      <c r="B13" s="82" t="s">
        <v>26</v>
      </c>
      <c r="C13" s="82"/>
      <c r="D13" s="82"/>
      <c r="E13" s="82"/>
      <c r="F13" s="83"/>
      <c r="G13" s="83"/>
      <c r="H13" s="83"/>
      <c r="I13" s="83"/>
      <c r="J13" s="83"/>
      <c r="K13" s="83"/>
      <c r="L13" s="82"/>
      <c r="M13" s="82"/>
      <c r="N13" s="82"/>
      <c r="O13" s="82"/>
      <c r="P13" s="82" t="s">
        <v>68</v>
      </c>
      <c r="Q13" s="82"/>
      <c r="R13" s="82"/>
      <c r="S13" s="82"/>
      <c r="AB13" t="e">
        <f>CONCATENATE(#REF!,B13)</f>
        <v>#REF!</v>
      </c>
      <c r="AC13" t="str">
        <f t="shared" si="0"/>
        <v/>
      </c>
    </row>
    <row r="14" spans="1:29" x14ac:dyDescent="0.35">
      <c r="A14" s="89">
        <v>4</v>
      </c>
      <c r="B14" s="82" t="s">
        <v>27</v>
      </c>
      <c r="C14" s="82"/>
      <c r="D14" s="82"/>
      <c r="E14" s="82"/>
      <c r="F14" s="83"/>
      <c r="G14" s="83"/>
      <c r="H14" s="83"/>
      <c r="I14" s="83"/>
      <c r="J14" s="83"/>
      <c r="K14" s="83"/>
      <c r="L14" s="82"/>
      <c r="M14" s="82"/>
      <c r="N14" s="82"/>
      <c r="O14" s="82"/>
      <c r="P14" s="82" t="s">
        <v>69</v>
      </c>
      <c r="Q14" s="82"/>
      <c r="R14" s="82"/>
      <c r="S14" s="82"/>
      <c r="AB14" t="e">
        <f>CONCATENATE(#REF!,B14)</f>
        <v>#REF!</v>
      </c>
      <c r="AC14" t="str">
        <f t="shared" si="0"/>
        <v/>
      </c>
    </row>
    <row r="15" spans="1:29" x14ac:dyDescent="0.35">
      <c r="A15" s="89">
        <v>5</v>
      </c>
      <c r="B15" s="82" t="s">
        <v>28</v>
      </c>
      <c r="C15" s="82">
        <v>113.45</v>
      </c>
      <c r="D15" s="82">
        <v>0</v>
      </c>
      <c r="E15" s="82">
        <v>0</v>
      </c>
      <c r="F15" s="256">
        <v>0</v>
      </c>
      <c r="G15" s="83">
        <f>C15+E15-F15</f>
        <v>113.45</v>
      </c>
      <c r="H15" s="83">
        <f>95.25-10</f>
        <v>85.25</v>
      </c>
      <c r="I15" s="83">
        <f>8.22+10</f>
        <v>18.22</v>
      </c>
      <c r="J15" s="83">
        <v>9.98</v>
      </c>
      <c r="K15" s="83">
        <f>SUM(H15:J15)</f>
        <v>113.45</v>
      </c>
      <c r="L15" s="83">
        <v>7948</v>
      </c>
      <c r="M15" s="260">
        <v>62</v>
      </c>
      <c r="N15" s="86">
        <f>O15*I15</f>
        <v>5557.0999999999995</v>
      </c>
      <c r="O15" s="83">
        <v>305</v>
      </c>
      <c r="P15" s="82" t="s">
        <v>70</v>
      </c>
      <c r="Q15" s="85">
        <f>228+520</f>
        <v>748</v>
      </c>
      <c r="R15" s="82"/>
      <c r="S15" s="82"/>
      <c r="V15">
        <v>0</v>
      </c>
      <c r="W15">
        <v>0</v>
      </c>
      <c r="AB15" t="e">
        <f>CONCATENATE(#REF!,B15)</f>
        <v>#REF!</v>
      </c>
      <c r="AC15">
        <f t="shared" si="0"/>
        <v>128.19354838709677</v>
      </c>
    </row>
    <row r="16" spans="1:29" x14ac:dyDescent="0.35">
      <c r="A16" s="89">
        <v>6</v>
      </c>
      <c r="B16" s="82" t="s">
        <v>29</v>
      </c>
      <c r="C16" s="82"/>
      <c r="D16" s="82"/>
      <c r="E16" s="82"/>
      <c r="F16" s="83"/>
      <c r="G16" s="83"/>
      <c r="H16" s="83"/>
      <c r="I16" s="83"/>
      <c r="J16" s="83"/>
      <c r="K16" s="83"/>
      <c r="L16" s="83"/>
      <c r="M16" s="82"/>
      <c r="N16" s="82"/>
      <c r="O16" s="82"/>
      <c r="P16" s="82" t="s">
        <v>70</v>
      </c>
      <c r="Q16" s="85"/>
      <c r="R16" s="82"/>
      <c r="S16" s="82"/>
      <c r="AB16" t="e">
        <f>CONCATENATE(#REF!,B16)</f>
        <v>#REF!</v>
      </c>
      <c r="AC16" t="str">
        <f t="shared" si="0"/>
        <v/>
      </c>
    </row>
    <row r="17" spans="1:29" x14ac:dyDescent="0.35">
      <c r="A17" s="89">
        <v>7</v>
      </c>
      <c r="B17" s="82" t="s">
        <v>30</v>
      </c>
      <c r="C17" s="82"/>
      <c r="D17" s="82"/>
      <c r="E17" s="82"/>
      <c r="F17" s="83"/>
      <c r="G17" s="83"/>
      <c r="H17" s="83"/>
      <c r="I17" s="83"/>
      <c r="J17" s="83"/>
      <c r="K17" s="83"/>
      <c r="L17" s="83"/>
      <c r="M17" s="82"/>
      <c r="N17" s="82"/>
      <c r="O17" s="82"/>
      <c r="P17" s="82" t="s">
        <v>71</v>
      </c>
      <c r="Q17" s="85"/>
      <c r="R17" s="82"/>
      <c r="S17" s="82"/>
      <c r="AB17" t="e">
        <f>CONCATENATE(#REF!,B17)</f>
        <v>#REF!</v>
      </c>
      <c r="AC17" t="str">
        <f t="shared" si="0"/>
        <v/>
      </c>
    </row>
    <row r="18" spans="1:29" x14ac:dyDescent="0.35">
      <c r="A18" s="89">
        <v>8</v>
      </c>
      <c r="B18" s="82" t="s">
        <v>31</v>
      </c>
      <c r="C18" s="82"/>
      <c r="D18" s="82"/>
      <c r="E18" s="82"/>
      <c r="F18" s="83"/>
      <c r="G18" s="83"/>
      <c r="H18" s="83"/>
      <c r="I18" s="83"/>
      <c r="J18" s="83"/>
      <c r="K18" s="83"/>
      <c r="L18" s="83"/>
      <c r="M18" s="82"/>
      <c r="N18" s="82"/>
      <c r="O18" s="82"/>
      <c r="P18" s="82" t="s">
        <v>72</v>
      </c>
      <c r="Q18" s="85"/>
      <c r="R18" s="82"/>
      <c r="S18" s="82"/>
      <c r="AB18" t="e">
        <f>CONCATENATE(#REF!,B18)</f>
        <v>#REF!</v>
      </c>
      <c r="AC18" t="str">
        <f t="shared" si="0"/>
        <v/>
      </c>
    </row>
    <row r="19" spans="1:29" x14ac:dyDescent="0.35">
      <c r="A19" s="89">
        <v>9</v>
      </c>
      <c r="B19" s="82" t="s">
        <v>32</v>
      </c>
      <c r="C19" s="82"/>
      <c r="D19" s="82"/>
      <c r="E19" s="82"/>
      <c r="F19" s="83"/>
      <c r="G19" s="83"/>
      <c r="H19" s="83"/>
      <c r="I19" s="83"/>
      <c r="J19" s="83"/>
      <c r="K19" s="83"/>
      <c r="L19" s="83"/>
      <c r="M19" s="83"/>
      <c r="N19" s="85"/>
      <c r="O19" s="83"/>
      <c r="P19" s="82" t="s">
        <v>72</v>
      </c>
      <c r="Q19" s="85" t="s">
        <v>94</v>
      </c>
      <c r="R19" s="82"/>
      <c r="S19" s="82"/>
      <c r="T19" s="28"/>
      <c r="U19" s="28"/>
      <c r="AB19" t="e">
        <f>CONCATENATE(#REF!,B19)</f>
        <v>#REF!</v>
      </c>
      <c r="AC19" t="str">
        <f t="shared" si="0"/>
        <v/>
      </c>
    </row>
    <row r="20" spans="1:29" x14ac:dyDescent="0.35">
      <c r="A20" s="89">
        <v>10</v>
      </c>
      <c r="B20" s="82" t="s">
        <v>33</v>
      </c>
      <c r="C20" s="82">
        <v>4.5</v>
      </c>
      <c r="D20" s="82">
        <v>0</v>
      </c>
      <c r="E20" s="82">
        <v>0</v>
      </c>
      <c r="F20" s="83">
        <v>1.8</v>
      </c>
      <c r="G20" s="83">
        <f t="shared" ref="G20" si="1">C20+E20-F20</f>
        <v>2.7</v>
      </c>
      <c r="H20" s="83">
        <v>0.92</v>
      </c>
      <c r="I20" s="83">
        <v>0.81</v>
      </c>
      <c r="J20" s="83">
        <v>0.97</v>
      </c>
      <c r="K20" s="83">
        <f t="shared" ref="K20" si="2">SUM(H20:J20)</f>
        <v>2.7</v>
      </c>
      <c r="L20" s="83">
        <v>1089</v>
      </c>
      <c r="M20" s="82">
        <v>725.93</v>
      </c>
      <c r="N20" s="85">
        <f>O20*I20</f>
        <v>438.69600000000003</v>
      </c>
      <c r="O20" s="83">
        <v>541.6</v>
      </c>
      <c r="P20" s="82" t="s">
        <v>72</v>
      </c>
      <c r="Q20" s="85">
        <f>48-10</f>
        <v>38</v>
      </c>
      <c r="R20" s="82"/>
      <c r="S20" s="82"/>
      <c r="U20" s="28"/>
      <c r="V20">
        <v>147.33900000000003</v>
      </c>
      <c r="W20">
        <v>181.9</v>
      </c>
      <c r="Y20" s="28">
        <f>V20*I20</f>
        <v>119.34459000000003</v>
      </c>
      <c r="AB20" t="e">
        <f>CONCATENATE(#REF!,B20)</f>
        <v>#REF!</v>
      </c>
      <c r="AC20">
        <f t="shared" si="0"/>
        <v>1.5001446420453763</v>
      </c>
    </row>
    <row r="21" spans="1:29" x14ac:dyDescent="0.35">
      <c r="A21" s="89">
        <v>11</v>
      </c>
      <c r="B21" s="84" t="s">
        <v>96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AB21" t="e">
        <f>CONCATENATE(#REF!,B22)</f>
        <v>#REF!</v>
      </c>
      <c r="AC21">
        <f t="shared" ref="AC21:AC37" si="3">IF(L22="","",L22/M22)</f>
        <v>1.7</v>
      </c>
    </row>
    <row r="22" spans="1:29" x14ac:dyDescent="0.35">
      <c r="A22" s="89">
        <v>12</v>
      </c>
      <c r="B22" s="82" t="s">
        <v>34</v>
      </c>
      <c r="C22" s="82">
        <v>5</v>
      </c>
      <c r="D22" s="82">
        <v>0</v>
      </c>
      <c r="E22" s="82">
        <v>0.86</v>
      </c>
      <c r="F22" s="83">
        <v>1.7</v>
      </c>
      <c r="G22" s="83">
        <f>C22+E22-F22</f>
        <v>4.16</v>
      </c>
      <c r="H22" s="83">
        <v>2.08</v>
      </c>
      <c r="I22" s="83">
        <v>1.22</v>
      </c>
      <c r="J22" s="83">
        <v>0.86</v>
      </c>
      <c r="K22" s="83">
        <f>SUM(H22:J22)</f>
        <v>4.16</v>
      </c>
      <c r="L22" s="83">
        <v>1285.2</v>
      </c>
      <c r="M22" s="82">
        <v>756</v>
      </c>
      <c r="N22" s="100">
        <v>182.01</v>
      </c>
      <c r="O22" s="83">
        <v>762</v>
      </c>
      <c r="P22" s="82" t="s">
        <v>73</v>
      </c>
      <c r="Q22" s="85">
        <f>26+200</f>
        <v>226</v>
      </c>
      <c r="R22" s="82"/>
      <c r="S22" s="82"/>
      <c r="U22" s="28"/>
      <c r="V22">
        <v>182.01</v>
      </c>
      <c r="W22">
        <v>272</v>
      </c>
      <c r="AB22" t="e">
        <f>CONCATENATE(#REF!,B23)</f>
        <v>#REF!</v>
      </c>
      <c r="AC22">
        <f t="shared" si="3"/>
        <v>343.7</v>
      </c>
    </row>
    <row r="23" spans="1:29" x14ac:dyDescent="0.35">
      <c r="A23" s="89">
        <v>13</v>
      </c>
      <c r="B23" s="82" t="s">
        <v>35</v>
      </c>
      <c r="C23" s="82">
        <v>831.5</v>
      </c>
      <c r="D23" s="82">
        <v>54</v>
      </c>
      <c r="E23" s="82">
        <v>0</v>
      </c>
      <c r="F23" s="83">
        <v>182</v>
      </c>
      <c r="G23" s="83">
        <f>C23+E23-F23</f>
        <v>649.5</v>
      </c>
      <c r="H23" s="83">
        <v>198.61</v>
      </c>
      <c r="I23" s="83">
        <v>303.58</v>
      </c>
      <c r="J23" s="83">
        <v>147.31</v>
      </c>
      <c r="K23" s="83">
        <f>SUM(H23:J23)</f>
        <v>649.5</v>
      </c>
      <c r="L23" s="83">
        <v>331326.8</v>
      </c>
      <c r="M23" s="85">
        <v>964</v>
      </c>
      <c r="N23" s="86">
        <v>136611</v>
      </c>
      <c r="O23" s="83">
        <v>1186</v>
      </c>
      <c r="P23" s="82" t="s">
        <v>74</v>
      </c>
      <c r="Q23" s="85">
        <f>6300-3900</f>
        <v>2400</v>
      </c>
      <c r="R23" s="82"/>
      <c r="S23" s="82"/>
      <c r="V23">
        <v>136611</v>
      </c>
      <c r="W23">
        <v>450</v>
      </c>
      <c r="AB23" t="e">
        <f>CONCATENATE(#REF!,B24)</f>
        <v>#REF!</v>
      </c>
      <c r="AC23">
        <f t="shared" si="3"/>
        <v>143.69999999999999</v>
      </c>
    </row>
    <row r="24" spans="1:29" x14ac:dyDescent="0.35">
      <c r="A24" s="89">
        <v>14</v>
      </c>
      <c r="B24" s="82" t="s">
        <v>36</v>
      </c>
      <c r="C24" s="82">
        <v>161.25</v>
      </c>
      <c r="D24" s="82">
        <v>0</v>
      </c>
      <c r="E24" s="82">
        <v>0</v>
      </c>
      <c r="F24" s="83">
        <v>0</v>
      </c>
      <c r="G24" s="83">
        <f>C24+E24-F24</f>
        <v>161.25</v>
      </c>
      <c r="H24" s="83">
        <v>0</v>
      </c>
      <c r="I24" s="83">
        <v>138.65</v>
      </c>
      <c r="J24" s="83">
        <v>22.6</v>
      </c>
      <c r="K24" s="83">
        <f>SUM(H24:J24)</f>
        <v>161.25</v>
      </c>
      <c r="L24" s="121">
        <v>1254314.19</v>
      </c>
      <c r="M24" s="117">
        <v>8728.7000000000007</v>
      </c>
      <c r="N24" s="86">
        <f>O24*I24</f>
        <v>1204175.25</v>
      </c>
      <c r="O24" s="83">
        <v>8685</v>
      </c>
      <c r="P24" s="82" t="s">
        <v>75</v>
      </c>
      <c r="Q24" s="85">
        <f>779-149</f>
        <v>630</v>
      </c>
      <c r="R24" s="82"/>
      <c r="S24" s="82"/>
      <c r="U24" s="28"/>
      <c r="V24">
        <v>304614.05</v>
      </c>
      <c r="W24">
        <v>2197</v>
      </c>
      <c r="AB24" t="e">
        <f>CONCATENATE(#REF!,B25)</f>
        <v>#REF!</v>
      </c>
      <c r="AC24" t="str">
        <f t="shared" si="3"/>
        <v/>
      </c>
    </row>
    <row r="25" spans="1:29" x14ac:dyDescent="0.35">
      <c r="A25" s="89">
        <v>15</v>
      </c>
      <c r="B25" s="82" t="s">
        <v>37</v>
      </c>
      <c r="C25" s="82"/>
      <c r="D25" s="82"/>
      <c r="E25" s="82"/>
      <c r="F25" s="83"/>
      <c r="G25" s="83"/>
      <c r="H25" s="83"/>
      <c r="I25" s="83"/>
      <c r="J25" s="83"/>
      <c r="K25" s="83"/>
      <c r="L25" s="83"/>
      <c r="M25" s="82"/>
      <c r="N25" s="82"/>
      <c r="O25" s="83"/>
      <c r="P25" s="82" t="s">
        <v>74</v>
      </c>
      <c r="Q25" s="85"/>
      <c r="R25" s="82"/>
      <c r="S25" s="82"/>
      <c r="AB25" t="e">
        <f>CONCATENATE(#REF!,B26)</f>
        <v>#REF!</v>
      </c>
      <c r="AC25" t="str">
        <f t="shared" si="3"/>
        <v/>
      </c>
    </row>
    <row r="26" spans="1:29" x14ac:dyDescent="0.35">
      <c r="A26" s="89">
        <v>16</v>
      </c>
      <c r="B26" s="82" t="s">
        <v>38</v>
      </c>
      <c r="C26" s="82"/>
      <c r="D26" s="82"/>
      <c r="E26" s="82"/>
      <c r="F26" s="83"/>
      <c r="G26" s="83"/>
      <c r="H26" s="83"/>
      <c r="I26" s="83"/>
      <c r="J26" s="83"/>
      <c r="K26" s="83"/>
      <c r="L26" s="83"/>
      <c r="M26" s="82"/>
      <c r="N26" s="82"/>
      <c r="O26" s="83"/>
      <c r="P26" s="82" t="s">
        <v>76</v>
      </c>
      <c r="Q26" s="85"/>
      <c r="R26" s="82"/>
      <c r="S26" s="82"/>
      <c r="AB26" t="e">
        <f>CONCATENATE(#REF!,B27)</f>
        <v>#REF!</v>
      </c>
      <c r="AC26" t="str">
        <f t="shared" si="3"/>
        <v/>
      </c>
    </row>
    <row r="27" spans="1:29" x14ac:dyDescent="0.35">
      <c r="A27" s="89">
        <v>17</v>
      </c>
      <c r="B27" s="82" t="s">
        <v>39</v>
      </c>
      <c r="C27" s="82"/>
      <c r="D27" s="82"/>
      <c r="E27" s="82"/>
      <c r="F27" s="83"/>
      <c r="G27" s="83"/>
      <c r="H27" s="83"/>
      <c r="I27" s="83"/>
      <c r="J27" s="83"/>
      <c r="K27" s="83"/>
      <c r="L27" s="83"/>
      <c r="M27" s="82"/>
      <c r="N27" s="82"/>
      <c r="O27" s="83"/>
      <c r="P27" s="82" t="s">
        <v>77</v>
      </c>
      <c r="Q27" s="85"/>
      <c r="R27" s="82"/>
      <c r="S27" s="82"/>
      <c r="AB27" t="e">
        <f>CONCATENATE(#REF!,B28)</f>
        <v>#REF!</v>
      </c>
      <c r="AC27" t="str">
        <f t="shared" si="3"/>
        <v/>
      </c>
    </row>
    <row r="28" spans="1:29" x14ac:dyDescent="0.35">
      <c r="A28" s="89">
        <v>18</v>
      </c>
      <c r="B28" s="82" t="s">
        <v>40</v>
      </c>
      <c r="C28" s="82"/>
      <c r="D28" s="82"/>
      <c r="E28" s="82"/>
      <c r="F28" s="83"/>
      <c r="G28" s="83"/>
      <c r="H28" s="83"/>
      <c r="I28" s="83"/>
      <c r="J28" s="83"/>
      <c r="K28" s="83"/>
      <c r="L28" s="83"/>
      <c r="M28" s="82"/>
      <c r="N28" s="82"/>
      <c r="O28" s="83"/>
      <c r="P28" s="82" t="s">
        <v>78</v>
      </c>
      <c r="Q28" s="85"/>
      <c r="R28" s="82"/>
      <c r="S28" s="82"/>
      <c r="AB28" t="e">
        <f>CONCATENATE(#REF!,B29)</f>
        <v>#REF!</v>
      </c>
      <c r="AC28" t="str">
        <f t="shared" si="3"/>
        <v/>
      </c>
    </row>
    <row r="29" spans="1:29" x14ac:dyDescent="0.35">
      <c r="A29" s="89">
        <v>19</v>
      </c>
      <c r="B29" s="82" t="s">
        <v>41</v>
      </c>
      <c r="C29" s="82"/>
      <c r="D29" s="82"/>
      <c r="E29" s="82"/>
      <c r="F29" s="83"/>
      <c r="G29" s="83"/>
      <c r="H29" s="83"/>
      <c r="I29" s="83"/>
      <c r="J29" s="83"/>
      <c r="K29" s="83"/>
      <c r="L29" s="83"/>
      <c r="M29" s="82"/>
      <c r="N29" s="82"/>
      <c r="O29" s="83"/>
      <c r="P29" s="82" t="s">
        <v>79</v>
      </c>
      <c r="Q29" s="85"/>
      <c r="R29" s="82"/>
      <c r="S29" s="82"/>
      <c r="AB29" t="e">
        <f>CONCATENATE(#REF!,B30)</f>
        <v>#REF!</v>
      </c>
      <c r="AC29" t="str">
        <f t="shared" si="3"/>
        <v/>
      </c>
    </row>
    <row r="30" spans="1:29" x14ac:dyDescent="0.35">
      <c r="A30" s="89">
        <v>20</v>
      </c>
      <c r="B30" s="82" t="s">
        <v>42</v>
      </c>
      <c r="C30" s="82"/>
      <c r="D30" s="82"/>
      <c r="E30" s="82"/>
      <c r="F30" s="83"/>
      <c r="G30" s="83"/>
      <c r="H30" s="83"/>
      <c r="I30" s="83"/>
      <c r="J30" s="83"/>
      <c r="K30" s="83"/>
      <c r="L30" s="83"/>
      <c r="M30" s="82"/>
      <c r="N30" s="82"/>
      <c r="O30" s="83"/>
      <c r="P30" s="82" t="s">
        <v>80</v>
      </c>
      <c r="Q30" s="85"/>
      <c r="R30" s="82"/>
      <c r="S30" s="82"/>
      <c r="AB30" t="e">
        <f>CONCATENATE(#REF!,B31)</f>
        <v>#REF!</v>
      </c>
      <c r="AC30" t="str">
        <f t="shared" si="3"/>
        <v/>
      </c>
    </row>
    <row r="31" spans="1:29" x14ac:dyDescent="0.35">
      <c r="A31" s="89">
        <v>21</v>
      </c>
      <c r="B31" s="82" t="s">
        <v>43</v>
      </c>
      <c r="C31" s="82"/>
      <c r="D31" s="82"/>
      <c r="E31" s="82"/>
      <c r="F31" s="83"/>
      <c r="G31" s="83"/>
      <c r="H31" s="83"/>
      <c r="I31" s="83"/>
      <c r="J31" s="83"/>
      <c r="K31" s="83"/>
      <c r="L31" s="83"/>
      <c r="M31" s="82"/>
      <c r="N31" s="82"/>
      <c r="O31" s="83"/>
      <c r="P31" s="82" t="s">
        <v>69</v>
      </c>
      <c r="Q31" s="85"/>
      <c r="R31" s="82"/>
      <c r="S31" s="82"/>
      <c r="AB31" t="e">
        <f>CONCATENATE(#REF!,B32)</f>
        <v>#REF!</v>
      </c>
      <c r="AC31" t="str">
        <f t="shared" si="3"/>
        <v/>
      </c>
    </row>
    <row r="32" spans="1:29" x14ac:dyDescent="0.35">
      <c r="A32" s="89">
        <v>22</v>
      </c>
      <c r="B32" s="82" t="s">
        <v>44</v>
      </c>
      <c r="C32" s="82"/>
      <c r="D32" s="82"/>
      <c r="E32" s="82"/>
      <c r="F32" s="83"/>
      <c r="G32" s="83"/>
      <c r="H32" s="83"/>
      <c r="I32" s="83"/>
      <c r="J32" s="83"/>
      <c r="K32" s="83"/>
      <c r="L32" s="83"/>
      <c r="M32" s="82"/>
      <c r="N32" s="82"/>
      <c r="O32" s="83"/>
      <c r="P32" s="82" t="s">
        <v>81</v>
      </c>
      <c r="Q32" s="85"/>
      <c r="R32" s="82"/>
      <c r="S32" s="82"/>
      <c r="AB32" t="e">
        <f>CONCATENATE(#REF!,B33)</f>
        <v>#REF!</v>
      </c>
      <c r="AC32" t="str">
        <f t="shared" si="3"/>
        <v/>
      </c>
    </row>
    <row r="33" spans="1:29" x14ac:dyDescent="0.35">
      <c r="A33" s="89">
        <v>23</v>
      </c>
      <c r="B33" s="82" t="s">
        <v>45</v>
      </c>
      <c r="C33" s="82"/>
      <c r="D33" s="82"/>
      <c r="E33" s="82"/>
      <c r="F33" s="83"/>
      <c r="G33" s="83"/>
      <c r="H33" s="83"/>
      <c r="I33" s="83"/>
      <c r="J33" s="83"/>
      <c r="K33" s="83"/>
      <c r="L33" s="83"/>
      <c r="M33" s="82"/>
      <c r="N33" s="82"/>
      <c r="O33" s="83"/>
      <c r="P33" s="82" t="s">
        <v>81</v>
      </c>
      <c r="Q33" s="85"/>
      <c r="R33" s="82"/>
      <c r="S33" s="82"/>
      <c r="AB33" t="e">
        <f>CONCATENATE(#REF!,B34)</f>
        <v>#REF!</v>
      </c>
      <c r="AC33">
        <f t="shared" si="3"/>
        <v>2.5</v>
      </c>
    </row>
    <row r="34" spans="1:29" x14ac:dyDescent="0.35">
      <c r="A34" s="89">
        <v>24</v>
      </c>
      <c r="B34" s="82" t="s">
        <v>46</v>
      </c>
      <c r="C34" s="82">
        <v>3.3</v>
      </c>
      <c r="D34" s="82">
        <v>0</v>
      </c>
      <c r="E34" s="82">
        <v>0</v>
      </c>
      <c r="F34" s="83">
        <v>0.31</v>
      </c>
      <c r="G34" s="83">
        <f t="shared" ref="G34" si="4">C34+E34-F34</f>
        <v>2.9899999999999998</v>
      </c>
      <c r="H34" s="83">
        <v>0</v>
      </c>
      <c r="I34" s="83">
        <v>2.76</v>
      </c>
      <c r="J34" s="83">
        <v>0.23</v>
      </c>
      <c r="K34" s="83">
        <f t="shared" ref="K34" si="5">SUM(H34:J34)</f>
        <v>2.9899999999999998</v>
      </c>
      <c r="L34" s="92">
        <v>1620</v>
      </c>
      <c r="M34" s="82">
        <v>648</v>
      </c>
      <c r="N34" s="100">
        <f>O34*I34</f>
        <v>1200.5999999999999</v>
      </c>
      <c r="O34" s="83">
        <v>435</v>
      </c>
      <c r="P34" s="82" t="s">
        <v>72</v>
      </c>
      <c r="Q34" s="85">
        <v>29</v>
      </c>
      <c r="R34" s="82"/>
      <c r="S34" s="82"/>
      <c r="U34" s="28"/>
      <c r="V34">
        <v>0</v>
      </c>
      <c r="W34">
        <v>0</v>
      </c>
      <c r="AB34" t="e">
        <f>CONCATENATE(#REF!,B35)</f>
        <v>#REF!</v>
      </c>
      <c r="AC34" t="str">
        <f t="shared" si="3"/>
        <v/>
      </c>
    </row>
    <row r="35" spans="1:29" x14ac:dyDescent="0.35">
      <c r="A35" s="89">
        <v>25</v>
      </c>
      <c r="B35" s="82" t="s">
        <v>47</v>
      </c>
      <c r="C35" s="82"/>
      <c r="D35" s="82"/>
      <c r="E35" s="82"/>
      <c r="F35" s="83"/>
      <c r="G35" s="83"/>
      <c r="H35" s="83"/>
      <c r="I35" s="83"/>
      <c r="J35" s="83"/>
      <c r="K35" s="83"/>
      <c r="L35" s="83"/>
      <c r="M35" s="82"/>
      <c r="N35" s="82"/>
      <c r="O35" s="83"/>
      <c r="P35" s="82" t="s">
        <v>75</v>
      </c>
      <c r="Q35" s="85"/>
      <c r="R35" s="82"/>
      <c r="S35" s="82"/>
      <c r="AB35" t="e">
        <f>CONCATENATE(#REF!,B36)</f>
        <v>#REF!</v>
      </c>
      <c r="AC35" t="e">
        <f t="shared" si="3"/>
        <v>#DIV/0!</v>
      </c>
    </row>
    <row r="36" spans="1:29" x14ac:dyDescent="0.35">
      <c r="A36" s="89">
        <v>26</v>
      </c>
      <c r="B36" s="82" t="s">
        <v>48</v>
      </c>
      <c r="C36" s="82">
        <v>2</v>
      </c>
      <c r="D36" s="82">
        <v>0</v>
      </c>
      <c r="E36" s="82">
        <v>0</v>
      </c>
      <c r="F36" s="83">
        <v>0.18</v>
      </c>
      <c r="G36" s="83">
        <f t="shared" ref="G36" si="6">C36+E36-F36</f>
        <v>1.82</v>
      </c>
      <c r="H36" s="83">
        <v>1.82</v>
      </c>
      <c r="I36" s="83">
        <v>0</v>
      </c>
      <c r="J36" s="83">
        <v>0</v>
      </c>
      <c r="K36" s="83">
        <f t="shared" ref="K36" si="7">SUM(H36:J36)</f>
        <v>1.82</v>
      </c>
      <c r="L36" s="83">
        <v>0</v>
      </c>
      <c r="M36" s="83">
        <v>0</v>
      </c>
      <c r="N36" s="83">
        <v>0</v>
      </c>
      <c r="O36" s="83">
        <v>0</v>
      </c>
      <c r="P36" s="82" t="s">
        <v>72</v>
      </c>
      <c r="Q36" s="85">
        <v>55</v>
      </c>
      <c r="R36" s="82"/>
      <c r="S36" s="82"/>
      <c r="V36">
        <v>0</v>
      </c>
      <c r="W36">
        <v>0</v>
      </c>
      <c r="AB36" t="e">
        <f>CONCATENATE(#REF!,B37)</f>
        <v>#REF!</v>
      </c>
      <c r="AC36" t="str">
        <f t="shared" si="3"/>
        <v/>
      </c>
    </row>
    <row r="37" spans="1:29" x14ac:dyDescent="0.35">
      <c r="A37" s="89">
        <v>27</v>
      </c>
      <c r="B37" s="82" t="s">
        <v>49</v>
      </c>
      <c r="C37" s="82"/>
      <c r="D37" s="82"/>
      <c r="E37" s="82"/>
      <c r="F37" s="83"/>
      <c r="G37" s="83"/>
      <c r="H37" s="83"/>
      <c r="I37" s="83"/>
      <c r="J37" s="83"/>
      <c r="K37" s="83"/>
      <c r="L37" s="83"/>
      <c r="M37" s="82"/>
      <c r="N37" s="82"/>
      <c r="O37" s="83"/>
      <c r="P37" s="82" t="s">
        <v>84</v>
      </c>
      <c r="Q37" s="85"/>
      <c r="R37" s="82"/>
      <c r="S37" s="82"/>
      <c r="AB37" t="e">
        <f>CONCATENATE(#REF!,B38)</f>
        <v>#REF!</v>
      </c>
      <c r="AC37" t="str">
        <f t="shared" si="3"/>
        <v/>
      </c>
    </row>
    <row r="38" spans="1:29" x14ac:dyDescent="0.35">
      <c r="A38" s="89">
        <v>28</v>
      </c>
      <c r="B38" s="82" t="s">
        <v>50</v>
      </c>
      <c r="C38" s="82"/>
      <c r="D38" s="82"/>
      <c r="E38" s="82"/>
      <c r="F38" s="83"/>
      <c r="G38" s="83"/>
      <c r="H38" s="83"/>
      <c r="I38" s="83"/>
      <c r="J38" s="83"/>
      <c r="K38" s="83"/>
      <c r="L38" s="83"/>
      <c r="M38" s="82"/>
      <c r="N38" s="82"/>
      <c r="O38" s="83"/>
      <c r="P38" s="82" t="s">
        <v>77</v>
      </c>
      <c r="Q38" s="85"/>
      <c r="R38" s="82"/>
      <c r="S38" s="82"/>
      <c r="AB38" t="e">
        <f>CONCATENATE(#REF!,#REF!)</f>
        <v>#REF!</v>
      </c>
    </row>
    <row r="39" spans="1:29" x14ac:dyDescent="0.35">
      <c r="A39" s="89">
        <v>29</v>
      </c>
      <c r="B39" s="82" t="s">
        <v>51</v>
      </c>
      <c r="C39" s="82"/>
      <c r="D39" s="82"/>
      <c r="E39" s="82"/>
      <c r="F39" s="83"/>
      <c r="G39" s="83"/>
      <c r="H39" s="83"/>
      <c r="I39" s="83"/>
      <c r="J39" s="83"/>
      <c r="K39" s="83"/>
      <c r="L39" s="82"/>
      <c r="M39" s="82"/>
      <c r="N39" s="82"/>
      <c r="O39" s="82"/>
      <c r="P39" s="82" t="s">
        <v>82</v>
      </c>
      <c r="Q39" s="82"/>
      <c r="R39" s="82"/>
      <c r="S39" s="82"/>
      <c r="AB39" t="e">
        <f>CONCATENATE(#REF!,B40)</f>
        <v>#REF!</v>
      </c>
      <c r="AC39" t="str">
        <f>IF(L40="","",L40/M40)</f>
        <v/>
      </c>
    </row>
    <row r="40" spans="1:29" x14ac:dyDescent="0.35">
      <c r="A40" s="89">
        <v>30</v>
      </c>
      <c r="B40" s="82" t="s">
        <v>52</v>
      </c>
      <c r="C40" s="82"/>
      <c r="D40" s="82"/>
      <c r="E40" s="82"/>
      <c r="F40" s="83"/>
      <c r="G40" s="83"/>
      <c r="H40" s="83"/>
      <c r="I40" s="83"/>
      <c r="J40" s="83"/>
      <c r="K40" s="83"/>
      <c r="L40" s="82"/>
      <c r="M40" s="82"/>
      <c r="N40" s="82"/>
      <c r="O40" s="82"/>
      <c r="P40" s="82" t="s">
        <v>83</v>
      </c>
      <c r="Q40" s="82"/>
      <c r="R40" s="82"/>
      <c r="S40" s="82"/>
    </row>
    <row r="42" spans="1:29" x14ac:dyDescent="0.35">
      <c r="P42" s="263" t="s">
        <v>110</v>
      </c>
      <c r="Q42" s="263"/>
      <c r="R42" s="263"/>
    </row>
    <row r="43" spans="1:29" x14ac:dyDescent="0.35">
      <c r="P43" s="68"/>
      <c r="Q43" s="68"/>
      <c r="R43" s="68"/>
    </row>
    <row r="44" spans="1:29" x14ac:dyDescent="0.35">
      <c r="P44" s="68"/>
      <c r="Q44" s="68"/>
      <c r="R44" s="68"/>
    </row>
    <row r="45" spans="1:29" x14ac:dyDescent="0.35">
      <c r="P45" s="68"/>
      <c r="Q45" s="68"/>
      <c r="R45" s="68"/>
    </row>
    <row r="46" spans="1:29" x14ac:dyDescent="0.35">
      <c r="P46" s="310" t="s">
        <v>155</v>
      </c>
      <c r="Q46" s="310"/>
      <c r="R46" s="310"/>
    </row>
    <row r="47" spans="1:29" x14ac:dyDescent="0.35">
      <c r="P47" s="262"/>
      <c r="Q47" s="262"/>
      <c r="R47" s="262"/>
    </row>
  </sheetData>
  <mergeCells count="14">
    <mergeCell ref="P42:R42"/>
    <mergeCell ref="P46:R46"/>
    <mergeCell ref="P47:R47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5" right="0.25" top="0.25" bottom="0.24803149599999999" header="0.31496062992126" footer="0.31496062992126"/>
  <pageSetup paperSize="5" scale="75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C00000"/>
  </sheetPr>
  <dimension ref="A1:AC47"/>
  <sheetViews>
    <sheetView topLeftCell="B5" zoomScale="80" zoomScaleNormal="80" workbookViewId="0">
      <selection activeCell="O24" sqref="O24"/>
    </sheetView>
  </sheetViews>
  <sheetFormatPr defaultRowHeight="14.5" x14ac:dyDescent="0.35"/>
  <cols>
    <col min="1" max="1" width="5.81640625" customWidth="1"/>
    <col min="2" max="2" width="19.81640625" customWidth="1"/>
    <col min="3" max="3" width="13.81640625" customWidth="1"/>
    <col min="4" max="4" width="9.453125" customWidth="1"/>
    <col min="5" max="5" width="11.81640625" customWidth="1"/>
    <col min="6" max="6" width="10.26953125" customWidth="1"/>
    <col min="7" max="7" width="11.453125" style="32" customWidth="1"/>
    <col min="8" max="9" width="9.54296875" style="32" bestFit="1" customWidth="1"/>
    <col min="10" max="10" width="9.54296875" style="32" customWidth="1"/>
    <col min="11" max="11" width="11.1796875" style="32" bestFit="1" customWidth="1"/>
    <col min="12" max="12" width="16" customWidth="1"/>
    <col min="13" max="13" width="11" bestFit="1" customWidth="1"/>
    <col min="14" max="14" width="16.26953125" customWidth="1"/>
    <col min="15" max="15" width="11" customWidth="1"/>
    <col min="16" max="16" width="18.54296875" customWidth="1"/>
    <col min="17" max="17" width="11.81640625" customWidth="1"/>
    <col min="18" max="18" width="9.26953125" customWidth="1"/>
    <col min="19" max="19" width="6.453125" customWidth="1"/>
    <col min="28" max="29" width="9.1796875" hidden="1" customWidth="1"/>
  </cols>
  <sheetData>
    <row r="1" spans="1:29" x14ac:dyDescent="0.35">
      <c r="A1" s="1" t="s">
        <v>57</v>
      </c>
      <c r="G1" s="30"/>
      <c r="H1" s="30"/>
      <c r="I1" s="30"/>
      <c r="J1" s="30"/>
      <c r="K1" s="30"/>
    </row>
    <row r="2" spans="1:29" x14ac:dyDescent="0.35">
      <c r="A2" s="2"/>
      <c r="G2" s="30"/>
      <c r="H2" s="30"/>
      <c r="I2" s="30"/>
      <c r="J2" s="30"/>
      <c r="K2" s="30"/>
    </row>
    <row r="3" spans="1:29" ht="30" customHeight="1" x14ac:dyDescent="0.35">
      <c r="A3" s="309" t="s">
        <v>58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</row>
    <row r="4" spans="1:29" x14ac:dyDescent="0.35">
      <c r="A4" s="153"/>
      <c r="B4" s="151"/>
      <c r="C4" s="151"/>
      <c r="D4" s="151"/>
      <c r="E4" s="151"/>
      <c r="F4" s="151"/>
      <c r="G4" s="154"/>
      <c r="H4" s="154"/>
      <c r="I4" s="154"/>
      <c r="J4" s="154"/>
      <c r="K4" s="154"/>
      <c r="L4" s="151"/>
      <c r="M4" s="151"/>
      <c r="N4" s="151"/>
      <c r="O4" s="151"/>
      <c r="P4" s="151"/>
      <c r="Q4" s="151"/>
      <c r="R4" s="242"/>
      <c r="S4" s="243"/>
    </row>
    <row r="5" spans="1:29" x14ac:dyDescent="0.35">
      <c r="A5" s="153" t="s">
        <v>175</v>
      </c>
      <c r="B5" s="151"/>
      <c r="C5" s="151" t="s">
        <v>199</v>
      </c>
      <c r="D5" s="151"/>
      <c r="E5" s="151"/>
      <c r="F5" s="151"/>
      <c r="G5" s="154"/>
      <c r="H5" s="154"/>
      <c r="I5" s="154"/>
      <c r="J5" s="154"/>
      <c r="K5" s="154"/>
      <c r="L5" s="151"/>
      <c r="M5" s="151"/>
      <c r="N5" s="151"/>
      <c r="O5" s="151"/>
      <c r="P5" s="151"/>
      <c r="Q5" s="151" t="s">
        <v>181</v>
      </c>
      <c r="R5" s="153" t="s">
        <v>182</v>
      </c>
      <c r="S5" s="151"/>
    </row>
    <row r="6" spans="1:29" x14ac:dyDescent="0.35">
      <c r="A6" s="153" t="s">
        <v>176</v>
      </c>
      <c r="B6" s="151"/>
      <c r="C6" s="151" t="s">
        <v>172</v>
      </c>
      <c r="D6" s="151"/>
      <c r="E6" s="151"/>
      <c r="F6" s="245"/>
      <c r="G6" s="154"/>
      <c r="H6" s="154"/>
      <c r="I6" s="154"/>
      <c r="J6" s="154"/>
      <c r="K6" s="154"/>
      <c r="L6" s="151"/>
      <c r="M6" s="151"/>
      <c r="N6" s="213"/>
      <c r="O6" s="151"/>
      <c r="P6" s="151"/>
      <c r="Q6" s="151" t="s">
        <v>180</v>
      </c>
      <c r="R6" s="153" t="s">
        <v>203</v>
      </c>
      <c r="S6" s="151"/>
    </row>
    <row r="7" spans="1:29" x14ac:dyDescent="0.35">
      <c r="A7" s="153" t="s">
        <v>177</v>
      </c>
      <c r="B7" s="151"/>
      <c r="C7" s="151" t="s">
        <v>174</v>
      </c>
      <c r="D7" s="151"/>
      <c r="E7" s="151"/>
      <c r="F7" s="151"/>
      <c r="G7" s="154"/>
      <c r="H7" s="154"/>
      <c r="I7" s="154"/>
      <c r="J7" s="154"/>
      <c r="K7" s="154"/>
      <c r="L7" s="151"/>
      <c r="M7" s="151"/>
      <c r="N7" s="151"/>
      <c r="O7" s="151"/>
      <c r="P7" s="151"/>
      <c r="Q7" s="151"/>
      <c r="R7" s="151"/>
      <c r="S7" s="151"/>
    </row>
    <row r="8" spans="1:29" s="11" customFormat="1" x14ac:dyDescent="0.35">
      <c r="A8" s="283" t="s">
        <v>3</v>
      </c>
      <c r="B8" s="283" t="s">
        <v>4</v>
      </c>
      <c r="C8" s="283" t="s">
        <v>23</v>
      </c>
      <c r="D8" s="283" t="s">
        <v>6</v>
      </c>
      <c r="E8" s="283"/>
      <c r="F8" s="283"/>
      <c r="G8" s="283"/>
      <c r="H8" s="283"/>
      <c r="I8" s="283"/>
      <c r="J8" s="283"/>
      <c r="K8" s="283"/>
      <c r="L8" s="283" t="s">
        <v>22</v>
      </c>
      <c r="M8" s="283"/>
      <c r="N8" s="283"/>
      <c r="O8" s="283"/>
      <c r="P8" s="284" t="s">
        <v>16</v>
      </c>
      <c r="Q8" s="156"/>
      <c r="R8" s="157"/>
      <c r="S8" s="155"/>
      <c r="AB8" s="11" t="s">
        <v>54</v>
      </c>
      <c r="AC8" s="11" t="s">
        <v>54</v>
      </c>
    </row>
    <row r="9" spans="1:29" s="11" customFormat="1" ht="43.5" x14ac:dyDescent="0.35">
      <c r="A9" s="283"/>
      <c r="B9" s="283"/>
      <c r="C9" s="283"/>
      <c r="D9" s="284" t="s">
        <v>7</v>
      </c>
      <c r="E9" s="284"/>
      <c r="F9" s="284"/>
      <c r="G9" s="284"/>
      <c r="H9" s="294" t="s">
        <v>12</v>
      </c>
      <c r="I9" s="294"/>
      <c r="J9" s="294"/>
      <c r="K9" s="294"/>
      <c r="L9" s="284" t="s">
        <v>13</v>
      </c>
      <c r="M9" s="284"/>
      <c r="N9" s="284" t="s">
        <v>15</v>
      </c>
      <c r="O9" s="284"/>
      <c r="P9" s="295"/>
      <c r="Q9" s="281" t="s">
        <v>17</v>
      </c>
      <c r="R9" s="282"/>
      <c r="S9" s="158" t="s">
        <v>167</v>
      </c>
      <c r="V9" s="11" t="s">
        <v>15</v>
      </c>
      <c r="AB9" s="11" t="s">
        <v>56</v>
      </c>
      <c r="AC9" s="11" t="s">
        <v>56</v>
      </c>
    </row>
    <row r="10" spans="1:29" s="11" customFormat="1" ht="54" customHeight="1" x14ac:dyDescent="0.35">
      <c r="A10" s="283"/>
      <c r="B10" s="283"/>
      <c r="C10" s="283"/>
      <c r="D10" s="159" t="s">
        <v>8</v>
      </c>
      <c r="E10" s="159" t="s">
        <v>9</v>
      </c>
      <c r="F10" s="159" t="s">
        <v>10</v>
      </c>
      <c r="G10" s="160" t="s">
        <v>11</v>
      </c>
      <c r="H10" s="160" t="s">
        <v>0</v>
      </c>
      <c r="I10" s="160" t="s">
        <v>1</v>
      </c>
      <c r="J10" s="160" t="s">
        <v>2</v>
      </c>
      <c r="K10" s="160" t="s">
        <v>11</v>
      </c>
      <c r="L10" s="159" t="s">
        <v>14</v>
      </c>
      <c r="M10" s="159" t="s">
        <v>21</v>
      </c>
      <c r="N10" s="159" t="s">
        <v>14</v>
      </c>
      <c r="O10" s="159" t="s">
        <v>21</v>
      </c>
      <c r="P10" s="296"/>
      <c r="Q10" s="159" t="s">
        <v>19</v>
      </c>
      <c r="R10" s="159" t="s">
        <v>20</v>
      </c>
      <c r="S10" s="161"/>
      <c r="V10" s="11" t="s">
        <v>14</v>
      </c>
      <c r="W10" s="11" t="s">
        <v>21</v>
      </c>
      <c r="AB10" s="11" t="s">
        <v>55</v>
      </c>
      <c r="AC10" s="11" t="s">
        <v>55</v>
      </c>
    </row>
    <row r="11" spans="1:29" x14ac:dyDescent="0.35">
      <c r="A11" s="179">
        <v>1</v>
      </c>
      <c r="B11" s="176" t="s">
        <v>5</v>
      </c>
      <c r="C11" s="176"/>
      <c r="D11" s="176"/>
      <c r="E11" s="176"/>
      <c r="F11" s="176"/>
      <c r="G11" s="201"/>
      <c r="H11" s="201"/>
      <c r="I11" s="201"/>
      <c r="J11" s="201"/>
      <c r="K11" s="201"/>
      <c r="L11" s="176"/>
      <c r="M11" s="176"/>
      <c r="N11" s="176"/>
      <c r="O11" s="176"/>
      <c r="P11" s="176" t="s">
        <v>67</v>
      </c>
      <c r="Q11" s="176"/>
      <c r="R11" s="176"/>
      <c r="S11" s="176"/>
      <c r="AB11" t="e">
        <f>CONCATENATE(#REF!,B11)</f>
        <v>#REF!</v>
      </c>
      <c r="AC11" t="str">
        <f>IF(L11="","",L11/M11)</f>
        <v/>
      </c>
    </row>
    <row r="12" spans="1:29" x14ac:dyDescent="0.35">
      <c r="A12" s="179">
        <v>2</v>
      </c>
      <c r="B12" s="176" t="s">
        <v>25</v>
      </c>
      <c r="C12" s="176"/>
      <c r="D12" s="176"/>
      <c r="E12" s="176"/>
      <c r="F12" s="176"/>
      <c r="G12" s="201"/>
      <c r="H12" s="201"/>
      <c r="I12" s="201"/>
      <c r="J12" s="201"/>
      <c r="K12" s="201"/>
      <c r="L12" s="176"/>
      <c r="M12" s="176"/>
      <c r="N12" s="176"/>
      <c r="O12" s="176"/>
      <c r="P12" s="176" t="s">
        <v>68</v>
      </c>
      <c r="Q12" s="176"/>
      <c r="R12" s="176"/>
      <c r="S12" s="176"/>
      <c r="AB12" t="e">
        <f>CONCATENATE(#REF!,B12)</f>
        <v>#REF!</v>
      </c>
      <c r="AC12" t="str">
        <f t="shared" ref="AC12:AC20" si="0">IF(L12="","",L12/M12)</f>
        <v/>
      </c>
    </row>
    <row r="13" spans="1:29" x14ac:dyDescent="0.35">
      <c r="A13" s="179">
        <v>3</v>
      </c>
      <c r="B13" s="176" t="s">
        <v>26</v>
      </c>
      <c r="C13" s="176"/>
      <c r="D13" s="176"/>
      <c r="E13" s="176"/>
      <c r="F13" s="176"/>
      <c r="G13" s="201"/>
      <c r="H13" s="201"/>
      <c r="I13" s="201"/>
      <c r="J13" s="201"/>
      <c r="K13" s="201"/>
      <c r="L13" s="176"/>
      <c r="M13" s="176"/>
      <c r="N13" s="176"/>
      <c r="O13" s="176"/>
      <c r="P13" s="176" t="s">
        <v>68</v>
      </c>
      <c r="Q13" s="176"/>
      <c r="R13" s="176"/>
      <c r="S13" s="176"/>
      <c r="AB13" t="e">
        <f>CONCATENATE(#REF!,B13)</f>
        <v>#REF!</v>
      </c>
      <c r="AC13" t="str">
        <f t="shared" si="0"/>
        <v/>
      </c>
    </row>
    <row r="14" spans="1:29" x14ac:dyDescent="0.35">
      <c r="A14" s="179">
        <v>4</v>
      </c>
      <c r="B14" s="176" t="s">
        <v>27</v>
      </c>
      <c r="C14" s="176"/>
      <c r="D14" s="176"/>
      <c r="E14" s="176"/>
      <c r="F14" s="176"/>
      <c r="G14" s="201"/>
      <c r="H14" s="201"/>
      <c r="I14" s="201"/>
      <c r="J14" s="201"/>
      <c r="K14" s="201"/>
      <c r="L14" s="176"/>
      <c r="M14" s="176"/>
      <c r="N14" s="176"/>
      <c r="O14" s="176"/>
      <c r="P14" s="176" t="s">
        <v>69</v>
      </c>
      <c r="Q14" s="176"/>
      <c r="R14" s="176"/>
      <c r="S14" s="176"/>
      <c r="AB14" t="e">
        <f>CONCATENATE(#REF!,B14)</f>
        <v>#REF!</v>
      </c>
      <c r="AC14" t="str">
        <f t="shared" si="0"/>
        <v/>
      </c>
    </row>
    <row r="15" spans="1:29" x14ac:dyDescent="0.35">
      <c r="A15" s="179">
        <v>5</v>
      </c>
      <c r="B15" s="176" t="s">
        <v>28</v>
      </c>
      <c r="C15" s="176"/>
      <c r="D15" s="176"/>
      <c r="E15" s="176"/>
      <c r="F15" s="176"/>
      <c r="G15" s="201"/>
      <c r="H15" s="201"/>
      <c r="I15" s="201"/>
      <c r="J15" s="201"/>
      <c r="K15" s="201"/>
      <c r="L15" s="176"/>
      <c r="M15" s="176"/>
      <c r="N15" s="176"/>
      <c r="O15" s="176"/>
      <c r="P15" s="176" t="s">
        <v>70</v>
      </c>
      <c r="Q15" s="176"/>
      <c r="R15" s="176"/>
      <c r="S15" s="176"/>
      <c r="AB15" t="e">
        <f>CONCATENATE(#REF!,B15)</f>
        <v>#REF!</v>
      </c>
      <c r="AC15" t="str">
        <f t="shared" si="0"/>
        <v/>
      </c>
    </row>
    <row r="16" spans="1:29" x14ac:dyDescent="0.35">
      <c r="A16" s="179">
        <v>6</v>
      </c>
      <c r="B16" s="176" t="s">
        <v>29</v>
      </c>
      <c r="C16" s="176"/>
      <c r="D16" s="176"/>
      <c r="E16" s="176"/>
      <c r="F16" s="176"/>
      <c r="G16" s="201"/>
      <c r="H16" s="201"/>
      <c r="I16" s="201"/>
      <c r="J16" s="201"/>
      <c r="K16" s="201"/>
      <c r="L16" s="176"/>
      <c r="M16" s="176"/>
      <c r="N16" s="176"/>
      <c r="O16" s="176"/>
      <c r="P16" s="176" t="s">
        <v>70</v>
      </c>
      <c r="Q16" s="176"/>
      <c r="R16" s="176"/>
      <c r="S16" s="176"/>
      <c r="AB16" t="e">
        <f>CONCATENATE(#REF!,B16)</f>
        <v>#REF!</v>
      </c>
      <c r="AC16" t="str">
        <f t="shared" si="0"/>
        <v/>
      </c>
    </row>
    <row r="17" spans="1:29" x14ac:dyDescent="0.35">
      <c r="A17" s="179">
        <v>7</v>
      </c>
      <c r="B17" s="176" t="s">
        <v>30</v>
      </c>
      <c r="C17" s="176"/>
      <c r="D17" s="176"/>
      <c r="E17" s="176"/>
      <c r="F17" s="176"/>
      <c r="G17" s="201"/>
      <c r="H17" s="201"/>
      <c r="I17" s="201"/>
      <c r="J17" s="201"/>
      <c r="K17" s="201"/>
      <c r="L17" s="176"/>
      <c r="M17" s="176"/>
      <c r="N17" s="176"/>
      <c r="O17" s="176"/>
      <c r="P17" s="176" t="s">
        <v>71</v>
      </c>
      <c r="Q17" s="176"/>
      <c r="R17" s="176"/>
      <c r="S17" s="176"/>
      <c r="AB17" t="e">
        <f>CONCATENATE(#REF!,B17)</f>
        <v>#REF!</v>
      </c>
      <c r="AC17" t="str">
        <f t="shared" si="0"/>
        <v/>
      </c>
    </row>
    <row r="18" spans="1:29" x14ac:dyDescent="0.35">
      <c r="A18" s="179">
        <v>8</v>
      </c>
      <c r="B18" s="176" t="s">
        <v>31</v>
      </c>
      <c r="C18" s="176"/>
      <c r="D18" s="176"/>
      <c r="E18" s="176"/>
      <c r="F18" s="176"/>
      <c r="G18" s="201"/>
      <c r="H18" s="201"/>
      <c r="I18" s="201"/>
      <c r="J18" s="201"/>
      <c r="K18" s="201"/>
      <c r="L18" s="176"/>
      <c r="M18" s="176"/>
      <c r="N18" s="176"/>
      <c r="O18" s="176"/>
      <c r="P18" s="176" t="s">
        <v>72</v>
      </c>
      <c r="Q18" s="176"/>
      <c r="R18" s="176"/>
      <c r="S18" s="176"/>
      <c r="AB18" t="e">
        <f>CONCATENATE(#REF!,B18)</f>
        <v>#REF!</v>
      </c>
      <c r="AC18" t="str">
        <f t="shared" si="0"/>
        <v/>
      </c>
    </row>
    <row r="19" spans="1:29" x14ac:dyDescent="0.35">
      <c r="A19" s="179">
        <v>9</v>
      </c>
      <c r="B19" s="176" t="s">
        <v>32</v>
      </c>
      <c r="C19" s="176"/>
      <c r="D19" s="176"/>
      <c r="E19" s="176"/>
      <c r="F19" s="176"/>
      <c r="G19" s="201"/>
      <c r="H19" s="201"/>
      <c r="I19" s="201"/>
      <c r="J19" s="201"/>
      <c r="K19" s="201"/>
      <c r="L19" s="176"/>
      <c r="M19" s="176"/>
      <c r="N19" s="176"/>
      <c r="O19" s="176"/>
      <c r="P19" s="176" t="s">
        <v>72</v>
      </c>
      <c r="Q19" s="176"/>
      <c r="R19" s="176"/>
      <c r="S19" s="176"/>
      <c r="AB19" t="e">
        <f>CONCATENATE(#REF!,B19)</f>
        <v>#REF!</v>
      </c>
      <c r="AC19" t="str">
        <f t="shared" si="0"/>
        <v/>
      </c>
    </row>
    <row r="20" spans="1:29" x14ac:dyDescent="0.35">
      <c r="A20" s="179">
        <v>10</v>
      </c>
      <c r="B20" s="176" t="s">
        <v>33</v>
      </c>
      <c r="C20" s="176"/>
      <c r="D20" s="176"/>
      <c r="E20" s="176"/>
      <c r="F20" s="176"/>
      <c r="G20" s="201"/>
      <c r="H20" s="201"/>
      <c r="I20" s="201"/>
      <c r="J20" s="201"/>
      <c r="K20" s="201"/>
      <c r="L20" s="176"/>
      <c r="M20" s="176"/>
      <c r="N20" s="176"/>
      <c r="O20" s="176"/>
      <c r="P20" s="176" t="s">
        <v>72</v>
      </c>
      <c r="Q20" s="176"/>
      <c r="R20" s="176"/>
      <c r="S20" s="176"/>
      <c r="AB20" t="e">
        <f>CONCATENATE(#REF!,B20)</f>
        <v>#REF!</v>
      </c>
      <c r="AC20" t="str">
        <f t="shared" si="0"/>
        <v/>
      </c>
    </row>
    <row r="21" spans="1:29" x14ac:dyDescent="0.35">
      <c r="A21" s="179">
        <v>11</v>
      </c>
      <c r="B21" s="200" t="s">
        <v>96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AB21" t="e">
        <f>CONCATENATE(#REF!,B22)</f>
        <v>#REF!</v>
      </c>
      <c r="AC21" t="str">
        <f t="shared" ref="AC21:AC36" si="1">IF(L22="","",L22/M22)</f>
        <v/>
      </c>
    </row>
    <row r="22" spans="1:29" x14ac:dyDescent="0.35">
      <c r="A22" s="179">
        <v>12</v>
      </c>
      <c r="B22" s="176" t="s">
        <v>34</v>
      </c>
      <c r="C22" s="176"/>
      <c r="D22" s="176"/>
      <c r="E22" s="176"/>
      <c r="F22" s="176"/>
      <c r="G22" s="201"/>
      <c r="H22" s="201"/>
      <c r="I22" s="201"/>
      <c r="J22" s="201"/>
      <c r="K22" s="201"/>
      <c r="L22" s="176"/>
      <c r="M22" s="176"/>
      <c r="N22" s="176"/>
      <c r="O22" s="176"/>
      <c r="P22" s="176" t="s">
        <v>73</v>
      </c>
      <c r="Q22" s="176"/>
      <c r="R22" s="176"/>
      <c r="S22" s="176"/>
      <c r="AB22" t="e">
        <f>CONCATENATE(#REF!,B23)</f>
        <v>#REF!</v>
      </c>
      <c r="AC22">
        <f t="shared" si="1"/>
        <v>588</v>
      </c>
    </row>
    <row r="23" spans="1:29" x14ac:dyDescent="0.35">
      <c r="A23" s="179">
        <v>13</v>
      </c>
      <c r="B23" s="176" t="s">
        <v>35</v>
      </c>
      <c r="C23" s="246">
        <v>1347</v>
      </c>
      <c r="D23" s="246">
        <v>0</v>
      </c>
      <c r="E23" s="246">
        <v>0</v>
      </c>
      <c r="F23" s="246">
        <v>0</v>
      </c>
      <c r="G23" s="246">
        <f>C23+E23-F23</f>
        <v>1347</v>
      </c>
      <c r="H23" s="246">
        <f>314.6-50</f>
        <v>264.60000000000002</v>
      </c>
      <c r="I23" s="246">
        <f>588+50</f>
        <v>638</v>
      </c>
      <c r="J23" s="246">
        <v>444.4</v>
      </c>
      <c r="K23" s="246">
        <f>SUM(H23:J23)</f>
        <v>1347</v>
      </c>
      <c r="L23" s="246">
        <v>559776</v>
      </c>
      <c r="M23" s="246">
        <v>952</v>
      </c>
      <c r="N23" s="246">
        <f>O23*I23</f>
        <v>889116.79999999993</v>
      </c>
      <c r="O23" s="246">
        <v>1393.6</v>
      </c>
      <c r="P23" s="176" t="s">
        <v>74</v>
      </c>
      <c r="Q23" s="235">
        <f>4941-2300+500+10</f>
        <v>3151</v>
      </c>
      <c r="R23" s="176"/>
      <c r="S23" s="176"/>
      <c r="V23">
        <v>175459.19999999998</v>
      </c>
      <c r="W23">
        <v>298.39999999999998</v>
      </c>
      <c r="AB23" t="e">
        <f>CONCATENATE(#REF!,B24)</f>
        <v>#REF!</v>
      </c>
      <c r="AC23">
        <f t="shared" si="1"/>
        <v>472.94189982335178</v>
      </c>
    </row>
    <row r="24" spans="1:29" x14ac:dyDescent="0.35">
      <c r="A24" s="179">
        <v>14</v>
      </c>
      <c r="B24" s="176" t="s">
        <v>36</v>
      </c>
      <c r="C24" s="246">
        <v>494</v>
      </c>
      <c r="D24" s="246">
        <v>0</v>
      </c>
      <c r="E24" s="246">
        <v>0</v>
      </c>
      <c r="F24" s="246">
        <v>5.95</v>
      </c>
      <c r="G24" s="246">
        <f>C24+E24-F24</f>
        <v>488.05</v>
      </c>
      <c r="H24" s="246">
        <v>0</v>
      </c>
      <c r="I24" s="246">
        <v>472.8</v>
      </c>
      <c r="J24" s="246">
        <v>15.25</v>
      </c>
      <c r="K24" s="246">
        <f>SUM(H24:J24)</f>
        <v>488.05</v>
      </c>
      <c r="L24" s="247">
        <v>4149828.7</v>
      </c>
      <c r="M24" s="246">
        <v>8774.5</v>
      </c>
      <c r="N24" s="246">
        <f>O24*I24</f>
        <v>4162531.2</v>
      </c>
      <c r="O24" s="246">
        <v>8804</v>
      </c>
      <c r="P24" s="176" t="s">
        <v>75</v>
      </c>
      <c r="Q24" s="235">
        <f>1977-1300</f>
        <v>677</v>
      </c>
      <c r="R24" s="176"/>
      <c r="S24" s="176"/>
      <c r="V24">
        <v>1040632.8</v>
      </c>
      <c r="W24">
        <v>2201</v>
      </c>
      <c r="AB24" t="e">
        <f>CONCATENATE(#REF!,B25)</f>
        <v>#REF!</v>
      </c>
      <c r="AC24" t="str">
        <f t="shared" si="1"/>
        <v/>
      </c>
    </row>
    <row r="25" spans="1:29" x14ac:dyDescent="0.35">
      <c r="A25" s="179">
        <v>15</v>
      </c>
      <c r="B25" s="176" t="s">
        <v>37</v>
      </c>
      <c r="C25" s="176"/>
      <c r="D25" s="176"/>
      <c r="E25" s="176"/>
      <c r="F25" s="176"/>
      <c r="G25" s="201"/>
      <c r="H25" s="201"/>
      <c r="I25" s="201"/>
      <c r="J25" s="201"/>
      <c r="K25" s="201"/>
      <c r="L25" s="176"/>
      <c r="M25" s="176"/>
      <c r="N25" s="176"/>
      <c r="O25" s="176"/>
      <c r="P25" s="176" t="s">
        <v>74</v>
      </c>
      <c r="Q25" s="235"/>
      <c r="R25" s="176"/>
      <c r="S25" s="176"/>
      <c r="AB25" t="e">
        <f>CONCATENATE(#REF!,B26)</f>
        <v>#REF!</v>
      </c>
      <c r="AC25" t="str">
        <f t="shared" si="1"/>
        <v/>
      </c>
    </row>
    <row r="26" spans="1:29" x14ac:dyDescent="0.35">
      <c r="A26" s="179">
        <v>16</v>
      </c>
      <c r="B26" s="176" t="s">
        <v>38</v>
      </c>
      <c r="C26" s="176"/>
      <c r="D26" s="176"/>
      <c r="E26" s="176"/>
      <c r="F26" s="176"/>
      <c r="G26" s="201"/>
      <c r="H26" s="201"/>
      <c r="I26" s="201"/>
      <c r="J26" s="201"/>
      <c r="K26" s="201"/>
      <c r="L26" s="176"/>
      <c r="M26" s="176"/>
      <c r="N26" s="176"/>
      <c r="O26" s="176"/>
      <c r="P26" s="176" t="s">
        <v>76</v>
      </c>
      <c r="Q26" s="176"/>
      <c r="R26" s="176"/>
      <c r="S26" s="176"/>
      <c r="AB26" t="e">
        <f>CONCATENATE(#REF!,B27)</f>
        <v>#REF!</v>
      </c>
      <c r="AC26" t="str">
        <f t="shared" si="1"/>
        <v/>
      </c>
    </row>
    <row r="27" spans="1:29" x14ac:dyDescent="0.35">
      <c r="A27" s="179">
        <v>17</v>
      </c>
      <c r="B27" s="176" t="s">
        <v>39</v>
      </c>
      <c r="C27" s="176"/>
      <c r="D27" s="176"/>
      <c r="E27" s="176"/>
      <c r="F27" s="176"/>
      <c r="G27" s="201"/>
      <c r="H27" s="201"/>
      <c r="I27" s="201"/>
      <c r="J27" s="201"/>
      <c r="K27" s="201"/>
      <c r="L27" s="176"/>
      <c r="M27" s="176"/>
      <c r="N27" s="176"/>
      <c r="O27" s="176"/>
      <c r="P27" s="176" t="s">
        <v>77</v>
      </c>
      <c r="Q27" s="176"/>
      <c r="R27" s="176"/>
      <c r="S27" s="176"/>
      <c r="AB27" t="e">
        <f>CONCATENATE(#REF!,B28)</f>
        <v>#REF!</v>
      </c>
      <c r="AC27" t="str">
        <f t="shared" si="1"/>
        <v/>
      </c>
    </row>
    <row r="28" spans="1:29" x14ac:dyDescent="0.35">
      <c r="A28" s="179">
        <v>18</v>
      </c>
      <c r="B28" s="176" t="s">
        <v>40</v>
      </c>
      <c r="C28" s="176"/>
      <c r="D28" s="176"/>
      <c r="E28" s="176"/>
      <c r="F28" s="176"/>
      <c r="G28" s="201"/>
      <c r="H28" s="201"/>
      <c r="I28" s="201"/>
      <c r="J28" s="201"/>
      <c r="K28" s="201"/>
      <c r="L28" s="176"/>
      <c r="M28" s="176"/>
      <c r="N28" s="176"/>
      <c r="O28" s="176"/>
      <c r="P28" s="176" t="s">
        <v>78</v>
      </c>
      <c r="Q28" s="176"/>
      <c r="R28" s="176"/>
      <c r="S28" s="176"/>
      <c r="AB28" t="e">
        <f>CONCATENATE(#REF!,B29)</f>
        <v>#REF!</v>
      </c>
      <c r="AC28" t="str">
        <f t="shared" si="1"/>
        <v/>
      </c>
    </row>
    <row r="29" spans="1:29" x14ac:dyDescent="0.35">
      <c r="A29" s="179">
        <v>19</v>
      </c>
      <c r="B29" s="176" t="s">
        <v>41</v>
      </c>
      <c r="C29" s="176"/>
      <c r="D29" s="176"/>
      <c r="E29" s="176"/>
      <c r="F29" s="176"/>
      <c r="G29" s="201"/>
      <c r="H29" s="201"/>
      <c r="I29" s="201"/>
      <c r="J29" s="201"/>
      <c r="K29" s="201"/>
      <c r="L29" s="176"/>
      <c r="M29" s="176"/>
      <c r="N29" s="176"/>
      <c r="O29" s="176"/>
      <c r="P29" s="176" t="s">
        <v>79</v>
      </c>
      <c r="Q29" s="176"/>
      <c r="R29" s="176"/>
      <c r="S29" s="176"/>
      <c r="AB29" t="e">
        <f>CONCATENATE(#REF!,B30)</f>
        <v>#REF!</v>
      </c>
      <c r="AC29" t="str">
        <f t="shared" si="1"/>
        <v/>
      </c>
    </row>
    <row r="30" spans="1:29" x14ac:dyDescent="0.35">
      <c r="A30" s="179">
        <v>20</v>
      </c>
      <c r="B30" s="176" t="s">
        <v>42</v>
      </c>
      <c r="C30" s="176"/>
      <c r="D30" s="176"/>
      <c r="E30" s="176"/>
      <c r="F30" s="176"/>
      <c r="G30" s="201"/>
      <c r="H30" s="201"/>
      <c r="I30" s="201"/>
      <c r="J30" s="201"/>
      <c r="K30" s="201"/>
      <c r="L30" s="176"/>
      <c r="M30" s="176"/>
      <c r="N30" s="176"/>
      <c r="O30" s="176"/>
      <c r="P30" s="176" t="s">
        <v>80</v>
      </c>
      <c r="Q30" s="176"/>
      <c r="R30" s="176"/>
      <c r="S30" s="176"/>
      <c r="AB30" t="e">
        <f>CONCATENATE(#REF!,B31)</f>
        <v>#REF!</v>
      </c>
      <c r="AC30" t="str">
        <f t="shared" si="1"/>
        <v/>
      </c>
    </row>
    <row r="31" spans="1:29" x14ac:dyDescent="0.35">
      <c r="A31" s="179">
        <v>21</v>
      </c>
      <c r="B31" s="176" t="s">
        <v>43</v>
      </c>
      <c r="C31" s="176"/>
      <c r="D31" s="176"/>
      <c r="E31" s="176"/>
      <c r="F31" s="176"/>
      <c r="G31" s="201"/>
      <c r="H31" s="201"/>
      <c r="I31" s="201"/>
      <c r="J31" s="201"/>
      <c r="K31" s="201"/>
      <c r="L31" s="176"/>
      <c r="M31" s="176"/>
      <c r="N31" s="176"/>
      <c r="O31" s="176"/>
      <c r="P31" s="176" t="s">
        <v>69</v>
      </c>
      <c r="Q31" s="176"/>
      <c r="R31" s="176"/>
      <c r="S31" s="176"/>
      <c r="AB31" t="e">
        <f>CONCATENATE(#REF!,B32)</f>
        <v>#REF!</v>
      </c>
      <c r="AC31" t="str">
        <f t="shared" si="1"/>
        <v/>
      </c>
    </row>
    <row r="32" spans="1:29" x14ac:dyDescent="0.35">
      <c r="A32" s="179">
        <v>22</v>
      </c>
      <c r="B32" s="176" t="s">
        <v>44</v>
      </c>
      <c r="C32" s="176"/>
      <c r="D32" s="176"/>
      <c r="E32" s="176"/>
      <c r="F32" s="176"/>
      <c r="G32" s="201"/>
      <c r="H32" s="201"/>
      <c r="I32" s="201"/>
      <c r="J32" s="201"/>
      <c r="K32" s="201"/>
      <c r="L32" s="176"/>
      <c r="M32" s="176"/>
      <c r="N32" s="176"/>
      <c r="O32" s="176"/>
      <c r="P32" s="176" t="s">
        <v>81</v>
      </c>
      <c r="Q32" s="176"/>
      <c r="R32" s="176"/>
      <c r="S32" s="176"/>
      <c r="AB32" t="e">
        <f>CONCATENATE(#REF!,B33)</f>
        <v>#REF!</v>
      </c>
      <c r="AC32" t="str">
        <f t="shared" si="1"/>
        <v/>
      </c>
    </row>
    <row r="33" spans="1:29" x14ac:dyDescent="0.35">
      <c r="A33" s="179">
        <v>23</v>
      </c>
      <c r="B33" s="176" t="s">
        <v>45</v>
      </c>
      <c r="C33" s="176"/>
      <c r="D33" s="176"/>
      <c r="E33" s="176"/>
      <c r="F33" s="176"/>
      <c r="G33" s="201"/>
      <c r="H33" s="201"/>
      <c r="I33" s="201"/>
      <c r="J33" s="201"/>
      <c r="K33" s="201"/>
      <c r="L33" s="176"/>
      <c r="M33" s="176"/>
      <c r="N33" s="176"/>
      <c r="O33" s="176"/>
      <c r="P33" s="176" t="s">
        <v>81</v>
      </c>
      <c r="Q33" s="176"/>
      <c r="R33" s="176"/>
      <c r="S33" s="176"/>
      <c r="AB33" t="e">
        <f>CONCATENATE(#REF!,B34)</f>
        <v>#REF!</v>
      </c>
      <c r="AC33" t="str">
        <f t="shared" si="1"/>
        <v/>
      </c>
    </row>
    <row r="34" spans="1:29" x14ac:dyDescent="0.35">
      <c r="A34" s="179">
        <v>24</v>
      </c>
      <c r="B34" s="176" t="s">
        <v>46</v>
      </c>
      <c r="C34" s="176"/>
      <c r="D34" s="176"/>
      <c r="E34" s="176"/>
      <c r="F34" s="176"/>
      <c r="G34" s="201"/>
      <c r="H34" s="201"/>
      <c r="I34" s="201"/>
      <c r="J34" s="201"/>
      <c r="K34" s="201"/>
      <c r="L34" s="176"/>
      <c r="M34" s="176"/>
      <c r="N34" s="176"/>
      <c r="O34" s="176"/>
      <c r="P34" s="176" t="s">
        <v>72</v>
      </c>
      <c r="Q34" s="176"/>
      <c r="R34" s="176"/>
      <c r="S34" s="176"/>
      <c r="AB34" t="e">
        <f>CONCATENATE(#REF!,B35)</f>
        <v>#REF!</v>
      </c>
      <c r="AC34" t="str">
        <f t="shared" si="1"/>
        <v/>
      </c>
    </row>
    <row r="35" spans="1:29" x14ac:dyDescent="0.35">
      <c r="A35" s="179">
        <v>25</v>
      </c>
      <c r="B35" s="176" t="s">
        <v>47</v>
      </c>
      <c r="C35" s="176"/>
      <c r="D35" s="176"/>
      <c r="E35" s="176"/>
      <c r="F35" s="176"/>
      <c r="G35" s="201"/>
      <c r="H35" s="201"/>
      <c r="I35" s="201"/>
      <c r="J35" s="201"/>
      <c r="K35" s="201"/>
      <c r="L35" s="176"/>
      <c r="M35" s="176"/>
      <c r="N35" s="176"/>
      <c r="O35" s="176"/>
      <c r="P35" s="176" t="s">
        <v>75</v>
      </c>
      <c r="Q35" s="176"/>
      <c r="R35" s="176"/>
      <c r="S35" s="176"/>
      <c r="AB35" t="e">
        <f>CONCATENATE(#REF!,B36)</f>
        <v>#REF!</v>
      </c>
      <c r="AC35" t="str">
        <f t="shared" si="1"/>
        <v/>
      </c>
    </row>
    <row r="36" spans="1:29" x14ac:dyDescent="0.35">
      <c r="A36" s="179">
        <v>26</v>
      </c>
      <c r="B36" s="176" t="s">
        <v>48</v>
      </c>
      <c r="C36" s="176"/>
      <c r="D36" s="176"/>
      <c r="E36" s="176"/>
      <c r="F36" s="176"/>
      <c r="G36" s="201"/>
      <c r="H36" s="201"/>
      <c r="I36" s="201"/>
      <c r="J36" s="201"/>
      <c r="K36" s="201"/>
      <c r="L36" s="176"/>
      <c r="M36" s="176"/>
      <c r="N36" s="176"/>
      <c r="O36" s="176"/>
      <c r="P36" s="176" t="s">
        <v>72</v>
      </c>
      <c r="Q36" s="176"/>
      <c r="R36" s="176"/>
      <c r="S36" s="176"/>
      <c r="AB36" t="e">
        <f>CONCATENATE(#REF!,B37)</f>
        <v>#REF!</v>
      </c>
      <c r="AC36" t="str">
        <f t="shared" si="1"/>
        <v/>
      </c>
    </row>
    <row r="37" spans="1:29" x14ac:dyDescent="0.35">
      <c r="A37" s="179">
        <v>27</v>
      </c>
      <c r="B37" s="176" t="s">
        <v>49</v>
      </c>
      <c r="C37" s="176"/>
      <c r="D37" s="176"/>
      <c r="E37" s="176"/>
      <c r="F37" s="176"/>
      <c r="G37" s="201"/>
      <c r="H37" s="201"/>
      <c r="I37" s="201"/>
      <c r="J37" s="201"/>
      <c r="K37" s="201"/>
      <c r="L37" s="176"/>
      <c r="M37" s="176"/>
      <c r="N37" s="176"/>
      <c r="O37" s="176"/>
      <c r="P37" s="176" t="s">
        <v>84</v>
      </c>
      <c r="Q37" s="176"/>
      <c r="R37" s="176"/>
      <c r="S37" s="176"/>
      <c r="AB37" t="e">
        <f>CONCATENATE(#REF!,#REF!)</f>
        <v>#REF!</v>
      </c>
      <c r="AC37" t="e">
        <f>IF(#REF!="","",#REF!/#REF!)</f>
        <v>#REF!</v>
      </c>
    </row>
    <row r="38" spans="1:29" x14ac:dyDescent="0.35">
      <c r="A38" s="179">
        <v>28</v>
      </c>
      <c r="B38" s="200" t="s">
        <v>50</v>
      </c>
      <c r="C38" s="176"/>
      <c r="D38" s="176"/>
      <c r="E38" s="176"/>
      <c r="F38" s="176"/>
      <c r="G38" s="248"/>
      <c r="H38" s="248"/>
      <c r="I38" s="248"/>
      <c r="J38" s="248"/>
      <c r="K38" s="248"/>
      <c r="L38" s="176"/>
      <c r="M38" s="176"/>
      <c r="N38" s="176"/>
      <c r="O38" s="176"/>
      <c r="P38" s="176"/>
      <c r="Q38" s="176"/>
      <c r="R38" s="176"/>
      <c r="S38" s="176"/>
      <c r="AB38" t="e">
        <f>CONCATENATE(#REF!,B40)</f>
        <v>#REF!</v>
      </c>
    </row>
    <row r="39" spans="1:29" x14ac:dyDescent="0.35">
      <c r="A39" s="179">
        <v>29</v>
      </c>
      <c r="B39" s="176" t="s">
        <v>51</v>
      </c>
      <c r="C39" s="176"/>
      <c r="D39" s="176"/>
      <c r="E39" s="176"/>
      <c r="F39" s="176"/>
      <c r="G39" s="201"/>
      <c r="H39" s="201"/>
      <c r="I39" s="201"/>
      <c r="J39" s="201"/>
      <c r="K39" s="201"/>
      <c r="L39" s="176"/>
      <c r="M39" s="176"/>
      <c r="N39" s="176"/>
      <c r="O39" s="176"/>
      <c r="P39" s="176" t="s">
        <v>82</v>
      </c>
      <c r="Q39" s="176"/>
      <c r="R39" s="176"/>
      <c r="S39" s="176"/>
    </row>
    <row r="40" spans="1:29" x14ac:dyDescent="0.35">
      <c r="A40" s="179">
        <v>30</v>
      </c>
      <c r="B40" s="176" t="s">
        <v>52</v>
      </c>
      <c r="C40" s="176"/>
      <c r="D40" s="176"/>
      <c r="E40" s="176"/>
      <c r="F40" s="176"/>
      <c r="G40" s="201"/>
      <c r="H40" s="201"/>
      <c r="I40" s="201"/>
      <c r="J40" s="201"/>
      <c r="K40" s="201"/>
      <c r="L40" s="176"/>
      <c r="M40" s="176"/>
      <c r="N40" s="176"/>
      <c r="O40" s="176"/>
      <c r="P40" s="176" t="s">
        <v>83</v>
      </c>
      <c r="Q40" s="176"/>
      <c r="R40" s="176"/>
      <c r="S40" s="176"/>
    </row>
    <row r="41" spans="1:29" x14ac:dyDescent="0.35">
      <c r="A41" s="151"/>
      <c r="B41" s="151"/>
      <c r="C41" s="151"/>
      <c r="D41" s="151"/>
      <c r="E41" s="151"/>
      <c r="F41" s="151"/>
      <c r="G41" s="152"/>
      <c r="H41" s="152"/>
      <c r="I41" s="152"/>
      <c r="J41" s="152"/>
      <c r="K41" s="152"/>
      <c r="L41" s="151"/>
      <c r="M41" s="151"/>
      <c r="N41" s="151"/>
      <c r="O41" s="151"/>
      <c r="P41" s="151"/>
      <c r="Q41" s="151"/>
      <c r="R41" s="151"/>
      <c r="S41" s="151"/>
    </row>
    <row r="42" spans="1:29" x14ac:dyDescent="0.35">
      <c r="A42" s="151"/>
      <c r="B42" s="151"/>
      <c r="C42" s="151"/>
      <c r="D42" s="151"/>
      <c r="E42" s="151"/>
      <c r="F42" s="151"/>
      <c r="G42" s="152"/>
      <c r="H42" s="152"/>
      <c r="I42" s="152"/>
      <c r="J42" s="152"/>
      <c r="K42" s="152"/>
      <c r="L42" s="151"/>
      <c r="M42" s="151"/>
      <c r="N42" s="151"/>
      <c r="O42" s="151"/>
      <c r="P42" s="286" t="s">
        <v>110</v>
      </c>
      <c r="Q42" s="286"/>
      <c r="R42" s="286"/>
      <c r="S42" s="151"/>
    </row>
    <row r="43" spans="1:29" x14ac:dyDescent="0.35">
      <c r="A43" s="151"/>
      <c r="B43" s="151"/>
      <c r="C43" s="151"/>
      <c r="D43" s="151"/>
      <c r="E43" s="151"/>
      <c r="F43" s="151"/>
      <c r="G43" s="152"/>
      <c r="H43" s="152"/>
      <c r="I43" s="152"/>
      <c r="J43" s="152"/>
      <c r="K43" s="152"/>
      <c r="L43" s="151"/>
      <c r="M43" s="151"/>
      <c r="N43" s="151"/>
      <c r="O43" s="151"/>
      <c r="P43" s="190"/>
      <c r="Q43" s="190"/>
      <c r="R43" s="190"/>
      <c r="S43" s="151"/>
    </row>
    <row r="44" spans="1:29" x14ac:dyDescent="0.35">
      <c r="A44" s="151"/>
      <c r="B44" s="151"/>
      <c r="C44" s="151"/>
      <c r="D44" s="151"/>
      <c r="E44" s="151"/>
      <c r="F44" s="151"/>
      <c r="G44" s="152"/>
      <c r="H44" s="152"/>
      <c r="I44" s="152"/>
      <c r="J44" s="152"/>
      <c r="K44" s="152"/>
      <c r="L44" s="151"/>
      <c r="M44" s="151"/>
      <c r="N44" s="151"/>
      <c r="O44" s="151"/>
      <c r="P44" s="190"/>
      <c r="Q44" s="190"/>
      <c r="R44" s="190"/>
      <c r="S44" s="151"/>
    </row>
    <row r="45" spans="1:29" x14ac:dyDescent="0.35">
      <c r="A45" s="151"/>
      <c r="B45" s="151"/>
      <c r="C45" s="151"/>
      <c r="D45" s="151"/>
      <c r="E45" s="151"/>
      <c r="F45" s="151"/>
      <c r="G45" s="152"/>
      <c r="H45" s="152"/>
      <c r="I45" s="152"/>
      <c r="J45" s="152"/>
      <c r="K45" s="152"/>
      <c r="L45" s="151"/>
      <c r="M45" s="151"/>
      <c r="N45" s="151"/>
      <c r="O45" s="151"/>
      <c r="P45" s="293" t="s">
        <v>156</v>
      </c>
      <c r="Q45" s="293"/>
      <c r="R45" s="293"/>
      <c r="S45" s="151"/>
    </row>
    <row r="46" spans="1:29" x14ac:dyDescent="0.35">
      <c r="P46" s="68"/>
      <c r="Q46" s="68"/>
      <c r="R46" s="68"/>
    </row>
    <row r="47" spans="1:29" x14ac:dyDescent="0.35">
      <c r="P47" s="68"/>
      <c r="Q47" s="68"/>
      <c r="R47" s="68"/>
    </row>
  </sheetData>
  <mergeCells count="14">
    <mergeCell ref="P42:R42"/>
    <mergeCell ref="P45:R45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  <mergeCell ref="P8:P10"/>
  </mergeCells>
  <pageMargins left="0.5" right="0" top="0.25" bottom="0.25" header="0.3" footer="0.3"/>
  <pageSetup paperSize="5" scale="70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AC49"/>
  <sheetViews>
    <sheetView zoomScale="70" zoomScaleNormal="70" workbookViewId="0">
      <selection activeCell="R7" sqref="R7"/>
    </sheetView>
  </sheetViews>
  <sheetFormatPr defaultRowHeight="14.5" x14ac:dyDescent="0.35"/>
  <cols>
    <col min="1" max="1" width="4.26953125" customWidth="1"/>
    <col min="2" max="2" width="20.54296875" customWidth="1"/>
    <col min="3" max="3" width="12.453125" customWidth="1"/>
    <col min="4" max="4" width="9.1796875" customWidth="1"/>
    <col min="5" max="5" width="9.7265625" customWidth="1"/>
    <col min="6" max="6" width="11.1796875" customWidth="1"/>
    <col min="7" max="8" width="9.54296875" style="32" bestFit="1" customWidth="1"/>
    <col min="9" max="9" width="8.1796875" style="32" customWidth="1"/>
    <col min="10" max="10" width="10.54296875" style="32" customWidth="1"/>
    <col min="11" max="11" width="9.54296875" style="32" bestFit="1" customWidth="1"/>
    <col min="12" max="12" width="14.453125" customWidth="1"/>
    <col min="13" max="13" width="12.1796875" bestFit="1" customWidth="1"/>
    <col min="14" max="14" width="12.81640625" customWidth="1"/>
    <col min="15" max="15" width="10.81640625" customWidth="1"/>
    <col min="16" max="16" width="17.453125" customWidth="1"/>
    <col min="17" max="17" width="11.81640625" customWidth="1"/>
    <col min="18" max="18" width="8.81640625" customWidth="1"/>
    <col min="19" max="19" width="6" customWidth="1"/>
    <col min="22" max="22" width="11" bestFit="1" customWidth="1"/>
    <col min="28" max="29" width="9.1796875" hidden="1" customWidth="1"/>
  </cols>
  <sheetData>
    <row r="1" spans="1:29" x14ac:dyDescent="0.35">
      <c r="A1" s="1" t="s">
        <v>57</v>
      </c>
      <c r="G1" s="30"/>
      <c r="H1" s="30"/>
      <c r="I1" s="30"/>
      <c r="J1" s="30"/>
      <c r="K1" s="30"/>
    </row>
    <row r="2" spans="1:29" x14ac:dyDescent="0.35">
      <c r="A2" s="2"/>
      <c r="G2" s="30"/>
      <c r="H2" s="30"/>
      <c r="I2" s="30"/>
      <c r="J2" s="30"/>
      <c r="K2" s="30"/>
    </row>
    <row r="3" spans="1:29" ht="30" customHeight="1" x14ac:dyDescent="0.35">
      <c r="A3" s="309" t="s">
        <v>58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</row>
    <row r="4" spans="1:29" x14ac:dyDescent="0.35">
      <c r="A4" s="153"/>
      <c r="B4" s="151"/>
      <c r="C4" s="151"/>
      <c r="D4" s="151"/>
      <c r="E4" s="151"/>
      <c r="F4" s="151"/>
      <c r="G4" s="154"/>
      <c r="H4" s="154"/>
      <c r="I4" s="154"/>
      <c r="J4" s="154"/>
      <c r="K4" s="154"/>
      <c r="L4" s="151"/>
      <c r="M4" s="151"/>
      <c r="N4" s="151"/>
      <c r="O4" s="151"/>
      <c r="P4" s="151"/>
      <c r="Q4" s="151"/>
      <c r="R4" s="242"/>
      <c r="S4" s="243"/>
    </row>
    <row r="5" spans="1:29" x14ac:dyDescent="0.35">
      <c r="A5" s="153" t="s">
        <v>175</v>
      </c>
      <c r="B5" s="151"/>
      <c r="C5" s="151" t="s">
        <v>200</v>
      </c>
      <c r="D5" s="151"/>
      <c r="E5" s="151"/>
      <c r="F5" s="151"/>
      <c r="G5" s="154"/>
      <c r="H5" s="154"/>
      <c r="I5" s="154"/>
      <c r="J5" s="154"/>
      <c r="K5" s="154"/>
      <c r="L5" s="151"/>
      <c r="M5" s="151"/>
      <c r="N5" s="151"/>
      <c r="O5" s="151"/>
      <c r="P5" s="151"/>
      <c r="Q5" s="151" t="s">
        <v>181</v>
      </c>
      <c r="R5" s="153" t="s">
        <v>205</v>
      </c>
      <c r="S5" s="151"/>
    </row>
    <row r="6" spans="1:29" x14ac:dyDescent="0.35">
      <c r="A6" s="153" t="s">
        <v>176</v>
      </c>
      <c r="B6" s="151"/>
      <c r="C6" s="151" t="s">
        <v>172</v>
      </c>
      <c r="D6" s="151"/>
      <c r="E6" s="151"/>
      <c r="F6" s="151"/>
      <c r="G6" s="154"/>
      <c r="H6" s="154"/>
      <c r="I6" s="154"/>
      <c r="J6" s="154"/>
      <c r="K6" s="154"/>
      <c r="L6" s="151"/>
      <c r="M6" s="151"/>
      <c r="N6" s="151"/>
      <c r="O6" s="151"/>
      <c r="P6" s="151"/>
      <c r="Q6" s="151" t="s">
        <v>180</v>
      </c>
      <c r="R6" s="153" t="s">
        <v>206</v>
      </c>
      <c r="S6" s="151"/>
    </row>
    <row r="7" spans="1:29" x14ac:dyDescent="0.35">
      <c r="A7" s="153" t="s">
        <v>177</v>
      </c>
      <c r="B7" s="151"/>
      <c r="C7" s="151" t="s">
        <v>174</v>
      </c>
      <c r="D7" s="151"/>
      <c r="E7" s="151"/>
      <c r="F7" s="151"/>
      <c r="G7" s="154"/>
      <c r="H7" s="154"/>
      <c r="I7" s="154"/>
      <c r="J7" s="154"/>
      <c r="K7" s="154"/>
      <c r="L7" s="151"/>
      <c r="M7" s="151"/>
      <c r="N7" s="151"/>
      <c r="O7" s="151"/>
      <c r="P7" s="151"/>
      <c r="Q7" s="151"/>
      <c r="R7" s="151"/>
      <c r="S7" s="151"/>
    </row>
    <row r="8" spans="1:29" s="11" customFormat="1" x14ac:dyDescent="0.35">
      <c r="A8" s="283" t="s">
        <v>3</v>
      </c>
      <c r="B8" s="283" t="s">
        <v>4</v>
      </c>
      <c r="C8" s="283" t="s">
        <v>23</v>
      </c>
      <c r="D8" s="283" t="s">
        <v>6</v>
      </c>
      <c r="E8" s="283"/>
      <c r="F8" s="283"/>
      <c r="G8" s="283"/>
      <c r="H8" s="283"/>
      <c r="I8" s="283"/>
      <c r="J8" s="283"/>
      <c r="K8" s="283"/>
      <c r="L8" s="283" t="s">
        <v>22</v>
      </c>
      <c r="M8" s="283"/>
      <c r="N8" s="283"/>
      <c r="O8" s="283"/>
      <c r="P8" s="155"/>
      <c r="Q8" s="156"/>
      <c r="R8" s="157"/>
      <c r="S8" s="155"/>
      <c r="AB8" s="11" t="s">
        <v>54</v>
      </c>
      <c r="AC8" s="11" t="s">
        <v>54</v>
      </c>
    </row>
    <row r="9" spans="1:29" s="11" customFormat="1" ht="29" x14ac:dyDescent="0.35">
      <c r="A9" s="283"/>
      <c r="B9" s="283"/>
      <c r="C9" s="283"/>
      <c r="D9" s="284" t="s">
        <v>7</v>
      </c>
      <c r="E9" s="284"/>
      <c r="F9" s="284"/>
      <c r="G9" s="284"/>
      <c r="H9" s="294" t="s">
        <v>12</v>
      </c>
      <c r="I9" s="294"/>
      <c r="J9" s="294"/>
      <c r="K9" s="294"/>
      <c r="L9" s="284" t="s">
        <v>13</v>
      </c>
      <c r="M9" s="284"/>
      <c r="N9" s="284" t="s">
        <v>15</v>
      </c>
      <c r="O9" s="284"/>
      <c r="P9" s="158"/>
      <c r="Q9" s="281" t="s">
        <v>17</v>
      </c>
      <c r="R9" s="282"/>
      <c r="S9" s="158" t="s">
        <v>167</v>
      </c>
      <c r="V9" s="11" t="s">
        <v>15</v>
      </c>
      <c r="AB9" s="11" t="s">
        <v>56</v>
      </c>
      <c r="AC9" s="11" t="s">
        <v>56</v>
      </c>
    </row>
    <row r="10" spans="1:29" s="11" customFormat="1" ht="43.5" x14ac:dyDescent="0.35">
      <c r="A10" s="283"/>
      <c r="B10" s="283"/>
      <c r="C10" s="283"/>
      <c r="D10" s="159" t="s">
        <v>8</v>
      </c>
      <c r="E10" s="159" t="s">
        <v>9</v>
      </c>
      <c r="F10" s="159" t="s">
        <v>10</v>
      </c>
      <c r="G10" s="160" t="s">
        <v>11</v>
      </c>
      <c r="H10" s="160" t="s">
        <v>0</v>
      </c>
      <c r="I10" s="160" t="s">
        <v>1</v>
      </c>
      <c r="J10" s="160" t="s">
        <v>2</v>
      </c>
      <c r="K10" s="160" t="s">
        <v>11</v>
      </c>
      <c r="L10" s="159" t="s">
        <v>14</v>
      </c>
      <c r="M10" s="159" t="s">
        <v>21</v>
      </c>
      <c r="N10" s="159" t="s">
        <v>14</v>
      </c>
      <c r="O10" s="159" t="s">
        <v>21</v>
      </c>
      <c r="P10" s="161" t="s">
        <v>16</v>
      </c>
      <c r="Q10" s="159" t="s">
        <v>19</v>
      </c>
      <c r="R10" s="159" t="s">
        <v>20</v>
      </c>
      <c r="S10" s="161"/>
      <c r="V10" s="11" t="s">
        <v>14</v>
      </c>
      <c r="W10" s="11" t="s">
        <v>21</v>
      </c>
      <c r="AB10" s="11" t="s">
        <v>55</v>
      </c>
      <c r="AC10" s="11" t="s">
        <v>55</v>
      </c>
    </row>
    <row r="11" spans="1:29" x14ac:dyDescent="0.35">
      <c r="A11" s="179">
        <v>1</v>
      </c>
      <c r="B11" s="176" t="s">
        <v>5</v>
      </c>
      <c r="C11" s="176"/>
      <c r="D11" s="176"/>
      <c r="E11" s="176"/>
      <c r="F11" s="176"/>
      <c r="G11" s="201"/>
      <c r="H11" s="201"/>
      <c r="I11" s="201"/>
      <c r="J11" s="201"/>
      <c r="K11" s="201"/>
      <c r="L11" s="176"/>
      <c r="M11" s="176"/>
      <c r="N11" s="176"/>
      <c r="O11" s="176"/>
      <c r="P11" s="176" t="s">
        <v>67</v>
      </c>
      <c r="Q11" s="176"/>
      <c r="R11" s="176"/>
      <c r="S11" s="176"/>
      <c r="AB11" t="e">
        <f>CONCATENATE(#REF!,B11)</f>
        <v>#REF!</v>
      </c>
      <c r="AC11" t="str">
        <f>IF(L11="","",L11/M11)</f>
        <v/>
      </c>
    </row>
    <row r="12" spans="1:29" x14ac:dyDescent="0.35">
      <c r="A12" s="179">
        <v>2</v>
      </c>
      <c r="B12" s="176" t="s">
        <v>25</v>
      </c>
      <c r="C12" s="176"/>
      <c r="D12" s="176"/>
      <c r="E12" s="176"/>
      <c r="F12" s="176"/>
      <c r="G12" s="201"/>
      <c r="H12" s="201"/>
      <c r="I12" s="201"/>
      <c r="J12" s="201"/>
      <c r="K12" s="201"/>
      <c r="L12" s="176"/>
      <c r="M12" s="176"/>
      <c r="N12" s="176"/>
      <c r="O12" s="176"/>
      <c r="P12" s="176" t="s">
        <v>68</v>
      </c>
      <c r="Q12" s="176"/>
      <c r="R12" s="176"/>
      <c r="S12" s="176"/>
      <c r="AB12" t="e">
        <f>CONCATENATE(#REF!,B12)</f>
        <v>#REF!</v>
      </c>
      <c r="AC12" t="str">
        <f t="shared" ref="AC12:AC20" si="0">IF(L12="","",L12/M12)</f>
        <v/>
      </c>
    </row>
    <row r="13" spans="1:29" x14ac:dyDescent="0.35">
      <c r="A13" s="179">
        <v>3</v>
      </c>
      <c r="B13" s="176" t="s">
        <v>26</v>
      </c>
      <c r="C13" s="176"/>
      <c r="D13" s="176"/>
      <c r="E13" s="176"/>
      <c r="F13" s="176"/>
      <c r="G13" s="201"/>
      <c r="H13" s="201"/>
      <c r="I13" s="201"/>
      <c r="J13" s="201"/>
      <c r="K13" s="201"/>
      <c r="L13" s="176"/>
      <c r="M13" s="176"/>
      <c r="N13" s="176"/>
      <c r="O13" s="176"/>
      <c r="P13" s="176" t="s">
        <v>68</v>
      </c>
      <c r="Q13" s="176"/>
      <c r="R13" s="176"/>
      <c r="S13" s="176"/>
      <c r="AB13" t="e">
        <f>CONCATENATE(#REF!,B13)</f>
        <v>#REF!</v>
      </c>
      <c r="AC13" t="str">
        <f t="shared" si="0"/>
        <v/>
      </c>
    </row>
    <row r="14" spans="1:29" x14ac:dyDescent="0.35">
      <c r="A14" s="179">
        <v>4</v>
      </c>
      <c r="B14" s="176" t="s">
        <v>27</v>
      </c>
      <c r="C14" s="176"/>
      <c r="D14" s="176"/>
      <c r="E14" s="176"/>
      <c r="F14" s="176"/>
      <c r="G14" s="201"/>
      <c r="H14" s="201"/>
      <c r="I14" s="201"/>
      <c r="J14" s="201"/>
      <c r="K14" s="201"/>
      <c r="L14" s="176"/>
      <c r="M14" s="176"/>
      <c r="N14" s="176"/>
      <c r="O14" s="176"/>
      <c r="P14" s="176" t="s">
        <v>69</v>
      </c>
      <c r="Q14" s="176"/>
      <c r="R14" s="176"/>
      <c r="S14" s="176"/>
      <c r="AB14" t="e">
        <f>CONCATENATE(#REF!,B14)</f>
        <v>#REF!</v>
      </c>
      <c r="AC14" t="str">
        <f t="shared" si="0"/>
        <v/>
      </c>
    </row>
    <row r="15" spans="1:29" x14ac:dyDescent="0.35">
      <c r="A15" s="179">
        <v>5</v>
      </c>
      <c r="B15" s="176" t="s">
        <v>28</v>
      </c>
      <c r="C15" s="176"/>
      <c r="D15" s="176"/>
      <c r="E15" s="176"/>
      <c r="F15" s="176"/>
      <c r="G15" s="201"/>
      <c r="H15" s="201"/>
      <c r="I15" s="201"/>
      <c r="J15" s="201"/>
      <c r="K15" s="201"/>
      <c r="L15" s="176"/>
      <c r="M15" s="176"/>
      <c r="N15" s="176"/>
      <c r="O15" s="176"/>
      <c r="P15" s="176" t="s">
        <v>70</v>
      </c>
      <c r="Q15" s="176"/>
      <c r="R15" s="176"/>
      <c r="S15" s="176"/>
      <c r="AB15" t="e">
        <f>CONCATENATE(#REF!,B15)</f>
        <v>#REF!</v>
      </c>
      <c r="AC15" t="str">
        <f t="shared" si="0"/>
        <v/>
      </c>
    </row>
    <row r="16" spans="1:29" x14ac:dyDescent="0.35">
      <c r="A16" s="179">
        <v>6</v>
      </c>
      <c r="B16" s="176" t="s">
        <v>29</v>
      </c>
      <c r="C16" s="176"/>
      <c r="D16" s="176"/>
      <c r="E16" s="176"/>
      <c r="F16" s="176"/>
      <c r="G16" s="201"/>
      <c r="H16" s="201"/>
      <c r="I16" s="201"/>
      <c r="J16" s="201"/>
      <c r="K16" s="201"/>
      <c r="L16" s="176"/>
      <c r="M16" s="176"/>
      <c r="N16" s="176"/>
      <c r="O16" s="176"/>
      <c r="P16" s="176" t="s">
        <v>70</v>
      </c>
      <c r="Q16" s="176"/>
      <c r="R16" s="176"/>
      <c r="S16" s="176"/>
      <c r="AB16" t="e">
        <f>CONCATENATE(#REF!,B16)</f>
        <v>#REF!</v>
      </c>
      <c r="AC16" t="str">
        <f t="shared" si="0"/>
        <v/>
      </c>
    </row>
    <row r="17" spans="1:29" x14ac:dyDescent="0.35">
      <c r="A17" s="179">
        <v>7</v>
      </c>
      <c r="B17" s="176" t="s">
        <v>30</v>
      </c>
      <c r="C17" s="176"/>
      <c r="D17" s="176"/>
      <c r="E17" s="176"/>
      <c r="F17" s="176"/>
      <c r="G17" s="201"/>
      <c r="H17" s="201"/>
      <c r="I17" s="201"/>
      <c r="J17" s="201"/>
      <c r="K17" s="201"/>
      <c r="L17" s="176"/>
      <c r="M17" s="176"/>
      <c r="N17" s="176"/>
      <c r="O17" s="176"/>
      <c r="P17" s="176" t="s">
        <v>71</v>
      </c>
      <c r="Q17" s="176"/>
      <c r="R17" s="176"/>
      <c r="S17" s="176"/>
      <c r="AB17" t="e">
        <f>CONCATENATE(#REF!,B17)</f>
        <v>#REF!</v>
      </c>
      <c r="AC17" t="str">
        <f t="shared" si="0"/>
        <v/>
      </c>
    </row>
    <row r="18" spans="1:29" x14ac:dyDescent="0.35">
      <c r="A18" s="179">
        <v>8</v>
      </c>
      <c r="B18" s="176" t="s">
        <v>31</v>
      </c>
      <c r="C18" s="176"/>
      <c r="D18" s="176"/>
      <c r="E18" s="176"/>
      <c r="F18" s="176"/>
      <c r="G18" s="201"/>
      <c r="H18" s="201"/>
      <c r="I18" s="201"/>
      <c r="J18" s="201"/>
      <c r="K18" s="201"/>
      <c r="L18" s="176"/>
      <c r="M18" s="176"/>
      <c r="N18" s="176"/>
      <c r="O18" s="176"/>
      <c r="P18" s="176" t="s">
        <v>72</v>
      </c>
      <c r="Q18" s="176"/>
      <c r="R18" s="176"/>
      <c r="S18" s="176"/>
      <c r="W18" s="28"/>
      <c r="AB18" t="e">
        <f>CONCATENATE(#REF!,B18)</f>
        <v>#REF!</v>
      </c>
      <c r="AC18" t="str">
        <f t="shared" si="0"/>
        <v/>
      </c>
    </row>
    <row r="19" spans="1:29" x14ac:dyDescent="0.35">
      <c r="A19" s="179">
        <v>9</v>
      </c>
      <c r="B19" s="176" t="s">
        <v>32</v>
      </c>
      <c r="C19" s="176"/>
      <c r="D19" s="176"/>
      <c r="E19" s="176"/>
      <c r="F19" s="176"/>
      <c r="G19" s="201"/>
      <c r="H19" s="201"/>
      <c r="I19" s="201"/>
      <c r="J19" s="201"/>
      <c r="K19" s="201"/>
      <c r="L19" s="176"/>
      <c r="M19" s="176"/>
      <c r="N19" s="176"/>
      <c r="O19" s="176"/>
      <c r="P19" s="176" t="s">
        <v>72</v>
      </c>
      <c r="Q19" s="176"/>
      <c r="R19" s="176"/>
      <c r="S19" s="176"/>
      <c r="V19" s="28"/>
      <c r="AB19" t="e">
        <f>CONCATENATE(#REF!,B19)</f>
        <v>#REF!</v>
      </c>
      <c r="AC19" t="str">
        <f t="shared" si="0"/>
        <v/>
      </c>
    </row>
    <row r="20" spans="1:29" x14ac:dyDescent="0.35">
      <c r="A20" s="179">
        <v>10</v>
      </c>
      <c r="B20" s="176" t="s">
        <v>33</v>
      </c>
      <c r="C20" s="176"/>
      <c r="D20" s="176"/>
      <c r="E20" s="176"/>
      <c r="F20" s="176"/>
      <c r="G20" s="201"/>
      <c r="H20" s="201"/>
      <c r="I20" s="201"/>
      <c r="J20" s="201"/>
      <c r="K20" s="201"/>
      <c r="L20" s="176"/>
      <c r="M20" s="176"/>
      <c r="N20" s="176"/>
      <c r="O20" s="176"/>
      <c r="P20" s="176" t="s">
        <v>72</v>
      </c>
      <c r="Q20" s="176"/>
      <c r="R20" s="176"/>
      <c r="S20" s="176"/>
      <c r="AB20" t="e">
        <f>CONCATENATE(#REF!,B20)</f>
        <v>#REF!</v>
      </c>
      <c r="AC20" t="str">
        <f t="shared" si="0"/>
        <v/>
      </c>
    </row>
    <row r="21" spans="1:29" x14ac:dyDescent="0.35">
      <c r="A21" s="179">
        <v>11</v>
      </c>
      <c r="B21" s="200" t="s">
        <v>96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AB21" t="e">
        <f>CONCATENATE(#REF!,B22)</f>
        <v>#REF!</v>
      </c>
      <c r="AC21" t="str">
        <f t="shared" ref="AC21:AC37" si="1">IF(L22="","",L22/M22)</f>
        <v/>
      </c>
    </row>
    <row r="22" spans="1:29" x14ac:dyDescent="0.35">
      <c r="A22" s="179">
        <v>12</v>
      </c>
      <c r="B22" s="176" t="s">
        <v>34</v>
      </c>
      <c r="C22" s="176"/>
      <c r="D22" s="176"/>
      <c r="E22" s="176"/>
      <c r="F22" s="176"/>
      <c r="G22" s="201"/>
      <c r="H22" s="201"/>
      <c r="I22" s="201"/>
      <c r="J22" s="201"/>
      <c r="K22" s="201"/>
      <c r="L22" s="176"/>
      <c r="M22" s="176"/>
      <c r="N22" s="176"/>
      <c r="O22" s="176"/>
      <c r="P22" s="176" t="s">
        <v>73</v>
      </c>
      <c r="Q22" s="176"/>
      <c r="R22" s="176"/>
      <c r="S22" s="176"/>
      <c r="AB22" t="e">
        <f>CONCATENATE(#REF!,B23)</f>
        <v>#REF!</v>
      </c>
      <c r="AC22">
        <f t="shared" si="1"/>
        <v>14.100050949473665</v>
      </c>
    </row>
    <row r="23" spans="1:29" x14ac:dyDescent="0.35">
      <c r="A23" s="179">
        <v>13</v>
      </c>
      <c r="B23" s="176" t="s">
        <v>35</v>
      </c>
      <c r="C23" s="246">
        <v>156.4</v>
      </c>
      <c r="D23" s="246">
        <v>0</v>
      </c>
      <c r="E23" s="246">
        <f>40+60</f>
        <v>100</v>
      </c>
      <c r="F23" s="246">
        <v>3</v>
      </c>
      <c r="G23" s="246">
        <f>C23+E23-F23</f>
        <v>253.39999999999998</v>
      </c>
      <c r="H23" s="246">
        <f>178.4+60-25</f>
        <v>213.4</v>
      </c>
      <c r="I23" s="246">
        <f>14.7+25</f>
        <v>39.700000000000003</v>
      </c>
      <c r="J23" s="246">
        <v>0.3</v>
      </c>
      <c r="K23" s="246">
        <f>SUM(H23:J23)</f>
        <v>253.40000000000003</v>
      </c>
      <c r="L23" s="246">
        <v>16328</v>
      </c>
      <c r="M23" s="246">
        <v>1158.01</v>
      </c>
      <c r="N23" s="246">
        <f>O23*I23</f>
        <v>51193.15</v>
      </c>
      <c r="O23" s="246">
        <v>1289.5</v>
      </c>
      <c r="P23" s="176" t="s">
        <v>74</v>
      </c>
      <c r="Q23" s="235">
        <f>751+1995+55</f>
        <v>2801</v>
      </c>
      <c r="R23" s="176"/>
      <c r="S23" s="176"/>
      <c r="V23">
        <v>4263</v>
      </c>
      <c r="W23">
        <v>290</v>
      </c>
      <c r="AB23" t="e">
        <f>CONCATENATE(#REF!,B24)</f>
        <v>#REF!</v>
      </c>
      <c r="AC23">
        <f t="shared" si="1"/>
        <v>32.199999999999996</v>
      </c>
    </row>
    <row r="24" spans="1:29" x14ac:dyDescent="0.35">
      <c r="A24" s="179">
        <v>14</v>
      </c>
      <c r="B24" s="176" t="s">
        <v>36</v>
      </c>
      <c r="C24" s="246">
        <v>34.9</v>
      </c>
      <c r="D24" s="246">
        <v>0</v>
      </c>
      <c r="E24" s="246">
        <v>2</v>
      </c>
      <c r="F24" s="246">
        <v>1.5</v>
      </c>
      <c r="G24" s="246">
        <f>C24+E24-F24</f>
        <v>35.4</v>
      </c>
      <c r="H24" s="246">
        <v>0</v>
      </c>
      <c r="I24" s="246">
        <v>35.200000000000003</v>
      </c>
      <c r="J24" s="246">
        <v>0.2</v>
      </c>
      <c r="K24" s="246">
        <f>SUM(H24:J24)</f>
        <v>35.400000000000006</v>
      </c>
      <c r="L24" s="250">
        <v>281395.8</v>
      </c>
      <c r="M24" s="251">
        <v>8739</v>
      </c>
      <c r="N24" s="251">
        <f>O24*I24</f>
        <v>312752</v>
      </c>
      <c r="O24" s="251">
        <v>8885</v>
      </c>
      <c r="P24" s="176" t="s">
        <v>75</v>
      </c>
      <c r="Q24" s="235">
        <f>50+502</f>
        <v>552</v>
      </c>
      <c r="R24" s="176"/>
      <c r="S24" s="176"/>
      <c r="V24" s="28">
        <v>80907.200000000012</v>
      </c>
      <c r="W24">
        <v>2298.5</v>
      </c>
      <c r="AB24" t="e">
        <f>CONCATENATE(#REF!,B25)</f>
        <v>#REF!</v>
      </c>
      <c r="AC24" t="str">
        <f t="shared" si="1"/>
        <v/>
      </c>
    </row>
    <row r="25" spans="1:29" x14ac:dyDescent="0.35">
      <c r="A25" s="179">
        <v>15</v>
      </c>
      <c r="B25" s="176" t="s">
        <v>37</v>
      </c>
      <c r="C25" s="176"/>
      <c r="D25" s="176"/>
      <c r="E25" s="176"/>
      <c r="F25" s="176"/>
      <c r="G25" s="201"/>
      <c r="H25" s="201"/>
      <c r="I25" s="201"/>
      <c r="J25" s="201"/>
      <c r="K25" s="201"/>
      <c r="L25" s="176"/>
      <c r="M25" s="176"/>
      <c r="N25" s="176"/>
      <c r="O25" s="176"/>
      <c r="P25" s="176" t="s">
        <v>74</v>
      </c>
      <c r="Q25" s="176"/>
      <c r="R25" s="176"/>
      <c r="S25" s="176"/>
      <c r="AB25" t="e">
        <f>CONCATENATE(#REF!,B26)</f>
        <v>#REF!</v>
      </c>
      <c r="AC25" t="str">
        <f t="shared" si="1"/>
        <v/>
      </c>
    </row>
    <row r="26" spans="1:29" x14ac:dyDescent="0.35">
      <c r="A26" s="179">
        <v>16</v>
      </c>
      <c r="B26" s="176" t="s">
        <v>38</v>
      </c>
      <c r="C26" s="176"/>
      <c r="D26" s="176"/>
      <c r="E26" s="176"/>
      <c r="F26" s="176"/>
      <c r="G26" s="201"/>
      <c r="H26" s="201"/>
      <c r="I26" s="201"/>
      <c r="J26" s="201"/>
      <c r="K26" s="201"/>
      <c r="L26" s="176"/>
      <c r="M26" s="176"/>
      <c r="N26" s="176"/>
      <c r="O26" s="176"/>
      <c r="P26" s="176" t="s">
        <v>76</v>
      </c>
      <c r="Q26" s="176"/>
      <c r="R26" s="176"/>
      <c r="S26" s="176"/>
      <c r="AB26" t="e">
        <f>CONCATENATE(#REF!,B27)</f>
        <v>#REF!</v>
      </c>
      <c r="AC26" t="str">
        <f t="shared" si="1"/>
        <v/>
      </c>
    </row>
    <row r="27" spans="1:29" x14ac:dyDescent="0.35">
      <c r="A27" s="179">
        <v>17</v>
      </c>
      <c r="B27" s="176" t="s">
        <v>39</v>
      </c>
      <c r="C27" s="176"/>
      <c r="D27" s="176"/>
      <c r="E27" s="176"/>
      <c r="F27" s="176"/>
      <c r="G27" s="201"/>
      <c r="H27" s="201"/>
      <c r="I27" s="201"/>
      <c r="J27" s="201"/>
      <c r="K27" s="201"/>
      <c r="L27" s="176"/>
      <c r="M27" s="176"/>
      <c r="N27" s="176"/>
      <c r="O27" s="176"/>
      <c r="P27" s="176" t="s">
        <v>77</v>
      </c>
      <c r="Q27" s="176"/>
      <c r="R27" s="176"/>
      <c r="S27" s="176"/>
      <c r="AB27" t="e">
        <f>CONCATENATE(#REF!,B28)</f>
        <v>#REF!</v>
      </c>
      <c r="AC27" t="str">
        <f t="shared" si="1"/>
        <v/>
      </c>
    </row>
    <row r="28" spans="1:29" x14ac:dyDescent="0.35">
      <c r="A28" s="179">
        <v>18</v>
      </c>
      <c r="B28" s="176" t="s">
        <v>40</v>
      </c>
      <c r="C28" s="176"/>
      <c r="D28" s="176"/>
      <c r="E28" s="176"/>
      <c r="F28" s="176"/>
      <c r="G28" s="201"/>
      <c r="H28" s="201"/>
      <c r="I28" s="201"/>
      <c r="J28" s="201"/>
      <c r="K28" s="201"/>
      <c r="L28" s="176"/>
      <c r="M28" s="176"/>
      <c r="N28" s="176"/>
      <c r="O28" s="176"/>
      <c r="P28" s="176" t="s">
        <v>78</v>
      </c>
      <c r="Q28" s="176"/>
      <c r="R28" s="176"/>
      <c r="S28" s="176"/>
      <c r="AB28" t="e">
        <f>CONCATENATE(#REF!,B29)</f>
        <v>#REF!</v>
      </c>
      <c r="AC28" t="str">
        <f t="shared" si="1"/>
        <v/>
      </c>
    </row>
    <row r="29" spans="1:29" x14ac:dyDescent="0.35">
      <c r="A29" s="179">
        <v>19</v>
      </c>
      <c r="B29" s="176" t="s">
        <v>41</v>
      </c>
      <c r="C29" s="176"/>
      <c r="D29" s="176"/>
      <c r="E29" s="176"/>
      <c r="F29" s="176"/>
      <c r="G29" s="201"/>
      <c r="H29" s="201"/>
      <c r="I29" s="201"/>
      <c r="J29" s="201"/>
      <c r="K29" s="201"/>
      <c r="L29" s="176"/>
      <c r="M29" s="176"/>
      <c r="N29" s="176"/>
      <c r="O29" s="176"/>
      <c r="P29" s="176" t="s">
        <v>79</v>
      </c>
      <c r="Q29" s="176"/>
      <c r="R29" s="176"/>
      <c r="S29" s="176"/>
      <c r="AB29" t="e">
        <f>CONCATENATE(#REF!,B30)</f>
        <v>#REF!</v>
      </c>
      <c r="AC29" t="str">
        <f t="shared" si="1"/>
        <v/>
      </c>
    </row>
    <row r="30" spans="1:29" x14ac:dyDescent="0.35">
      <c r="A30" s="179">
        <v>20</v>
      </c>
      <c r="B30" s="176" t="s">
        <v>42</v>
      </c>
      <c r="C30" s="176"/>
      <c r="D30" s="176"/>
      <c r="E30" s="176"/>
      <c r="F30" s="176"/>
      <c r="G30" s="201"/>
      <c r="H30" s="201"/>
      <c r="I30" s="201"/>
      <c r="J30" s="201"/>
      <c r="K30" s="201"/>
      <c r="L30" s="176"/>
      <c r="M30" s="176"/>
      <c r="N30" s="176"/>
      <c r="O30" s="176"/>
      <c r="P30" s="176" t="s">
        <v>80</v>
      </c>
      <c r="Q30" s="176"/>
      <c r="R30" s="176"/>
      <c r="S30" s="176"/>
      <c r="AB30" t="e">
        <f>CONCATENATE(#REF!,B31)</f>
        <v>#REF!</v>
      </c>
      <c r="AC30" t="str">
        <f t="shared" si="1"/>
        <v/>
      </c>
    </row>
    <row r="31" spans="1:29" x14ac:dyDescent="0.35">
      <c r="A31" s="179">
        <v>21</v>
      </c>
      <c r="B31" s="176" t="s">
        <v>43</v>
      </c>
      <c r="C31" s="176"/>
      <c r="D31" s="176"/>
      <c r="E31" s="176"/>
      <c r="F31" s="176"/>
      <c r="G31" s="201"/>
      <c r="H31" s="201"/>
      <c r="I31" s="201"/>
      <c r="J31" s="201"/>
      <c r="K31" s="201"/>
      <c r="L31" s="176"/>
      <c r="M31" s="176"/>
      <c r="N31" s="176"/>
      <c r="O31" s="176"/>
      <c r="P31" s="176" t="s">
        <v>69</v>
      </c>
      <c r="Q31" s="176"/>
      <c r="R31" s="176"/>
      <c r="S31" s="176"/>
      <c r="AB31" t="e">
        <f>CONCATENATE(#REF!,B32)</f>
        <v>#REF!</v>
      </c>
      <c r="AC31" t="str">
        <f t="shared" si="1"/>
        <v/>
      </c>
    </row>
    <row r="32" spans="1:29" x14ac:dyDescent="0.35">
      <c r="A32" s="179">
        <v>22</v>
      </c>
      <c r="B32" s="176" t="s">
        <v>44</v>
      </c>
      <c r="C32" s="176"/>
      <c r="D32" s="176"/>
      <c r="E32" s="176"/>
      <c r="F32" s="176"/>
      <c r="G32" s="201"/>
      <c r="H32" s="201"/>
      <c r="I32" s="201"/>
      <c r="J32" s="201"/>
      <c r="K32" s="201"/>
      <c r="L32" s="176"/>
      <c r="M32" s="176"/>
      <c r="N32" s="176"/>
      <c r="O32" s="176"/>
      <c r="P32" s="176" t="s">
        <v>81</v>
      </c>
      <c r="Q32" s="176"/>
      <c r="R32" s="176"/>
      <c r="S32" s="176"/>
      <c r="AB32" t="e">
        <f>CONCATENATE(#REF!,B33)</f>
        <v>#REF!</v>
      </c>
      <c r="AC32" t="str">
        <f t="shared" si="1"/>
        <v/>
      </c>
    </row>
    <row r="33" spans="1:29" x14ac:dyDescent="0.35">
      <c r="A33" s="179">
        <v>23</v>
      </c>
      <c r="B33" s="176" t="s">
        <v>45</v>
      </c>
      <c r="C33" s="176"/>
      <c r="D33" s="176"/>
      <c r="E33" s="176"/>
      <c r="F33" s="176"/>
      <c r="G33" s="201"/>
      <c r="H33" s="201"/>
      <c r="I33" s="201"/>
      <c r="J33" s="201"/>
      <c r="K33" s="201"/>
      <c r="L33" s="176"/>
      <c r="M33" s="176"/>
      <c r="N33" s="176"/>
      <c r="O33" s="176"/>
      <c r="P33" s="176" t="s">
        <v>81</v>
      </c>
      <c r="Q33" s="176"/>
      <c r="R33" s="176"/>
      <c r="S33" s="176"/>
      <c r="AB33" t="e">
        <f>CONCATENATE(#REF!,B34)</f>
        <v>#REF!</v>
      </c>
      <c r="AC33" t="str">
        <f t="shared" si="1"/>
        <v/>
      </c>
    </row>
    <row r="34" spans="1:29" x14ac:dyDescent="0.35">
      <c r="A34" s="179">
        <v>24</v>
      </c>
      <c r="B34" s="176" t="s">
        <v>46</v>
      </c>
      <c r="C34" s="176"/>
      <c r="D34" s="176"/>
      <c r="E34" s="176"/>
      <c r="F34" s="176"/>
      <c r="G34" s="201"/>
      <c r="H34" s="201"/>
      <c r="I34" s="201"/>
      <c r="J34" s="201"/>
      <c r="K34" s="201"/>
      <c r="L34" s="176"/>
      <c r="M34" s="176"/>
      <c r="N34" s="176"/>
      <c r="O34" s="176"/>
      <c r="P34" s="176" t="s">
        <v>72</v>
      </c>
      <c r="Q34" s="176"/>
      <c r="R34" s="176"/>
      <c r="S34" s="176"/>
      <c r="AB34" t="e">
        <f>CONCATENATE(#REF!,B35)</f>
        <v>#REF!</v>
      </c>
      <c r="AC34" t="str">
        <f t="shared" si="1"/>
        <v/>
      </c>
    </row>
    <row r="35" spans="1:29" x14ac:dyDescent="0.35">
      <c r="A35" s="179">
        <v>25</v>
      </c>
      <c r="B35" s="176" t="s">
        <v>47</v>
      </c>
      <c r="C35" s="176"/>
      <c r="D35" s="176"/>
      <c r="E35" s="176"/>
      <c r="F35" s="176"/>
      <c r="G35" s="201"/>
      <c r="H35" s="201"/>
      <c r="I35" s="201"/>
      <c r="J35" s="201"/>
      <c r="K35" s="201"/>
      <c r="L35" s="176"/>
      <c r="M35" s="176"/>
      <c r="N35" s="176"/>
      <c r="O35" s="176"/>
      <c r="P35" s="176" t="s">
        <v>75</v>
      </c>
      <c r="Q35" s="176"/>
      <c r="R35" s="176"/>
      <c r="S35" s="176"/>
      <c r="AB35" t="e">
        <f>CONCATENATE(#REF!,B36)</f>
        <v>#REF!</v>
      </c>
      <c r="AC35" t="str">
        <f t="shared" si="1"/>
        <v/>
      </c>
    </row>
    <row r="36" spans="1:29" x14ac:dyDescent="0.35">
      <c r="A36" s="179">
        <v>26</v>
      </c>
      <c r="B36" s="176" t="s">
        <v>48</v>
      </c>
      <c r="C36" s="176"/>
      <c r="D36" s="176"/>
      <c r="E36" s="176"/>
      <c r="F36" s="176"/>
      <c r="G36" s="201"/>
      <c r="H36" s="201"/>
      <c r="I36" s="201"/>
      <c r="J36" s="201"/>
      <c r="K36" s="201"/>
      <c r="L36" s="176"/>
      <c r="M36" s="176"/>
      <c r="N36" s="176"/>
      <c r="O36" s="176"/>
      <c r="P36" s="176" t="s">
        <v>72</v>
      </c>
      <c r="Q36" s="176"/>
      <c r="R36" s="176"/>
      <c r="S36" s="176"/>
      <c r="AB36" t="e">
        <f>CONCATENATE(#REF!,B37)</f>
        <v>#REF!</v>
      </c>
      <c r="AC36" t="str">
        <f t="shared" si="1"/>
        <v/>
      </c>
    </row>
    <row r="37" spans="1:29" x14ac:dyDescent="0.35">
      <c r="A37" s="179">
        <v>27</v>
      </c>
      <c r="B37" s="176" t="s">
        <v>49</v>
      </c>
      <c r="C37" s="176"/>
      <c r="D37" s="176"/>
      <c r="E37" s="176"/>
      <c r="F37" s="176"/>
      <c r="G37" s="201"/>
      <c r="H37" s="201"/>
      <c r="I37" s="201"/>
      <c r="J37" s="201"/>
      <c r="K37" s="201"/>
      <c r="L37" s="176"/>
      <c r="M37" s="176"/>
      <c r="N37" s="176"/>
      <c r="O37" s="176"/>
      <c r="P37" s="176" t="s">
        <v>84</v>
      </c>
      <c r="Q37" s="176"/>
      <c r="R37" s="176"/>
      <c r="S37" s="176"/>
      <c r="AB37" t="e">
        <f>CONCATENATE(#REF!,B38)</f>
        <v>#REF!</v>
      </c>
      <c r="AC37" t="str">
        <f t="shared" si="1"/>
        <v/>
      </c>
    </row>
    <row r="38" spans="1:29" x14ac:dyDescent="0.35">
      <c r="A38" s="179">
        <v>28</v>
      </c>
      <c r="B38" s="176" t="s">
        <v>50</v>
      </c>
      <c r="C38" s="176"/>
      <c r="D38" s="176"/>
      <c r="E38" s="176"/>
      <c r="F38" s="176"/>
      <c r="G38" s="201"/>
      <c r="H38" s="201"/>
      <c r="I38" s="201"/>
      <c r="J38" s="201"/>
      <c r="K38" s="201"/>
      <c r="L38" s="176"/>
      <c r="M38" s="176"/>
      <c r="N38" s="176"/>
      <c r="O38" s="176"/>
      <c r="P38" s="176" t="s">
        <v>77</v>
      </c>
      <c r="Q38" s="176"/>
      <c r="R38" s="176"/>
      <c r="S38" s="176"/>
      <c r="AB38" t="e">
        <f>CONCATENATE(#REF!,#REF!)</f>
        <v>#REF!</v>
      </c>
    </row>
    <row r="39" spans="1:29" x14ac:dyDescent="0.35">
      <c r="A39" s="179">
        <v>29</v>
      </c>
      <c r="B39" s="176" t="s">
        <v>51</v>
      </c>
      <c r="C39" s="176"/>
      <c r="D39" s="176"/>
      <c r="E39" s="176"/>
      <c r="F39" s="176"/>
      <c r="G39" s="201"/>
      <c r="H39" s="201"/>
      <c r="I39" s="201"/>
      <c r="J39" s="201"/>
      <c r="K39" s="201"/>
      <c r="L39" s="176"/>
      <c r="M39" s="176"/>
      <c r="N39" s="176"/>
      <c r="O39" s="176"/>
      <c r="P39" s="176" t="s">
        <v>82</v>
      </c>
      <c r="Q39" s="176"/>
      <c r="R39" s="176"/>
      <c r="S39" s="176"/>
      <c r="AB39" t="e">
        <f>CONCATENATE(#REF!,B40)</f>
        <v>#REF!</v>
      </c>
      <c r="AC39" t="str">
        <f>IF(L40="","",L40/M40)</f>
        <v/>
      </c>
    </row>
    <row r="40" spans="1:29" x14ac:dyDescent="0.35">
      <c r="A40" s="179">
        <v>30</v>
      </c>
      <c r="B40" s="176" t="s">
        <v>52</v>
      </c>
      <c r="C40" s="176"/>
      <c r="D40" s="176"/>
      <c r="E40" s="176"/>
      <c r="F40" s="176"/>
      <c r="G40" s="201"/>
      <c r="H40" s="201"/>
      <c r="I40" s="201"/>
      <c r="J40" s="201"/>
      <c r="K40" s="201"/>
      <c r="L40" s="176"/>
      <c r="M40" s="176"/>
      <c r="N40" s="176"/>
      <c r="O40" s="176"/>
      <c r="P40" s="176" t="s">
        <v>83</v>
      </c>
      <c r="Q40" s="176"/>
      <c r="R40" s="176"/>
      <c r="S40" s="176"/>
    </row>
    <row r="41" spans="1:29" x14ac:dyDescent="0.35">
      <c r="A41" s="151"/>
      <c r="B41" s="151"/>
      <c r="C41" s="151"/>
      <c r="D41" s="151"/>
      <c r="E41" s="151"/>
      <c r="F41" s="151"/>
      <c r="G41" s="152"/>
      <c r="H41" s="152"/>
      <c r="I41" s="152"/>
      <c r="J41" s="152"/>
      <c r="K41" s="152"/>
      <c r="L41" s="151"/>
      <c r="M41" s="151"/>
      <c r="N41" s="151"/>
      <c r="O41" s="151"/>
      <c r="P41" s="151"/>
      <c r="Q41" s="151"/>
      <c r="R41" s="151"/>
      <c r="S41" s="151"/>
    </row>
    <row r="42" spans="1:29" x14ac:dyDescent="0.35">
      <c r="A42" s="151"/>
      <c r="B42" s="151"/>
      <c r="C42" s="151"/>
      <c r="D42" s="151"/>
      <c r="E42" s="151"/>
      <c r="F42" s="151"/>
      <c r="G42" s="152"/>
      <c r="H42" s="152"/>
      <c r="I42" s="152"/>
      <c r="J42" s="152"/>
      <c r="K42" s="152"/>
      <c r="L42" s="151"/>
      <c r="M42" s="151"/>
      <c r="N42" s="151"/>
      <c r="O42" s="151"/>
      <c r="P42" s="286" t="s">
        <v>110</v>
      </c>
      <c r="Q42" s="286"/>
      <c r="R42" s="286"/>
      <c r="S42" s="151"/>
    </row>
    <row r="43" spans="1:29" x14ac:dyDescent="0.35">
      <c r="A43" s="151"/>
      <c r="B43" s="151"/>
      <c r="C43" s="151"/>
      <c r="D43" s="151"/>
      <c r="E43" s="151"/>
      <c r="F43" s="151"/>
      <c r="G43" s="152"/>
      <c r="H43" s="152"/>
      <c r="I43" s="152"/>
      <c r="J43" s="152"/>
      <c r="K43" s="152"/>
      <c r="L43" s="151"/>
      <c r="M43" s="151"/>
      <c r="N43" s="151"/>
      <c r="O43" s="151"/>
      <c r="P43" s="190"/>
      <c r="Q43" s="190"/>
      <c r="R43" s="190"/>
      <c r="S43" s="151"/>
    </row>
    <row r="44" spans="1:29" x14ac:dyDescent="0.35">
      <c r="A44" s="151"/>
      <c r="B44" s="151"/>
      <c r="C44" s="151"/>
      <c r="D44" s="151"/>
      <c r="E44" s="151"/>
      <c r="F44" s="151"/>
      <c r="G44" s="152"/>
      <c r="H44" s="152"/>
      <c r="I44" s="152"/>
      <c r="J44" s="152"/>
      <c r="K44" s="152"/>
      <c r="L44" s="151"/>
      <c r="M44" s="151"/>
      <c r="N44" s="151"/>
      <c r="O44" s="151"/>
      <c r="P44" s="190"/>
      <c r="Q44" s="190"/>
      <c r="R44" s="190"/>
      <c r="S44" s="151"/>
    </row>
    <row r="45" spans="1:29" x14ac:dyDescent="0.35">
      <c r="A45" s="151"/>
      <c r="B45" s="151"/>
      <c r="C45" s="151"/>
      <c r="D45" s="151"/>
      <c r="E45" s="151"/>
      <c r="F45" s="151"/>
      <c r="G45" s="152"/>
      <c r="H45" s="152"/>
      <c r="I45" s="152"/>
      <c r="J45" s="152"/>
      <c r="K45" s="152"/>
      <c r="L45" s="151"/>
      <c r="M45" s="151"/>
      <c r="N45" s="151"/>
      <c r="O45" s="151"/>
      <c r="P45" s="293" t="s">
        <v>157</v>
      </c>
      <c r="Q45" s="293"/>
      <c r="R45" s="293"/>
      <c r="S45" s="151"/>
    </row>
    <row r="46" spans="1:29" x14ac:dyDescent="0.35">
      <c r="A46" s="151"/>
      <c r="B46" s="151"/>
      <c r="C46" s="151"/>
      <c r="D46" s="151"/>
      <c r="E46" s="151"/>
      <c r="F46" s="151"/>
      <c r="G46" s="152"/>
      <c r="H46" s="152"/>
      <c r="I46" s="152"/>
      <c r="J46" s="152"/>
      <c r="K46" s="152"/>
      <c r="L46" s="151"/>
      <c r="M46" s="151"/>
      <c r="N46" s="151"/>
      <c r="O46" s="151"/>
      <c r="P46" s="286" t="s">
        <v>158</v>
      </c>
      <c r="Q46" s="286"/>
      <c r="R46" s="286"/>
      <c r="S46" s="151"/>
    </row>
    <row r="47" spans="1:29" x14ac:dyDescent="0.35">
      <c r="A47" s="151"/>
      <c r="B47" s="151"/>
      <c r="C47" s="151"/>
      <c r="D47" s="151"/>
      <c r="E47" s="151"/>
      <c r="F47" s="151"/>
      <c r="G47" s="152"/>
      <c r="H47" s="152"/>
      <c r="I47" s="152"/>
      <c r="J47" s="152"/>
      <c r="K47" s="152"/>
      <c r="L47" s="151"/>
      <c r="M47" s="151"/>
      <c r="N47" s="151"/>
      <c r="O47" s="151"/>
      <c r="P47" s="190"/>
      <c r="Q47" s="190"/>
      <c r="R47" s="190"/>
      <c r="S47" s="151"/>
    </row>
    <row r="48" spans="1:29" x14ac:dyDescent="0.35">
      <c r="P48" s="68"/>
      <c r="Q48" s="68"/>
      <c r="R48" s="68"/>
    </row>
    <row r="49" spans="16:18" x14ac:dyDescent="0.35">
      <c r="P49" s="68"/>
      <c r="Q49" s="68"/>
      <c r="R49" s="68"/>
    </row>
  </sheetData>
  <mergeCells count="14">
    <mergeCell ref="P42:R42"/>
    <mergeCell ref="P45:R45"/>
    <mergeCell ref="P46:R46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5" right="0" top="0.25" bottom="0.25" header="0.3" footer="0.3"/>
  <pageSetup paperSize="5" scale="75"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C00000"/>
  </sheetPr>
  <dimension ref="A1:AC47"/>
  <sheetViews>
    <sheetView zoomScaleNormal="100" workbookViewId="0">
      <selection activeCell="P42" sqref="P42:Q47"/>
    </sheetView>
  </sheetViews>
  <sheetFormatPr defaultRowHeight="14.5" x14ac:dyDescent="0.35"/>
  <cols>
    <col min="1" max="1" width="4.81640625" customWidth="1"/>
    <col min="2" max="2" width="16" bestFit="1" customWidth="1"/>
    <col min="3" max="3" width="11.7265625" customWidth="1"/>
    <col min="4" max="4" width="7.81640625" customWidth="1"/>
    <col min="5" max="5" width="7.1796875" customWidth="1"/>
    <col min="6" max="6" width="9" customWidth="1"/>
    <col min="7" max="7" width="9" style="32" customWidth="1"/>
    <col min="8" max="8" width="8.81640625" style="32" customWidth="1"/>
    <col min="9" max="9" width="9.1796875" style="32" customWidth="1"/>
    <col min="10" max="10" width="9" style="32" customWidth="1"/>
    <col min="11" max="11" width="9.453125" style="32" customWidth="1"/>
    <col min="12" max="12" width="12.453125" customWidth="1"/>
    <col min="13" max="13" width="11.1796875" customWidth="1"/>
    <col min="14" max="14" width="12.453125" customWidth="1"/>
    <col min="15" max="15" width="10.26953125" customWidth="1"/>
    <col min="16" max="16" width="16.26953125" customWidth="1"/>
    <col min="17" max="17" width="11" customWidth="1"/>
    <col min="18" max="18" width="8.453125" customWidth="1"/>
    <col min="19" max="19" width="6.54296875" customWidth="1"/>
    <col min="21" max="21" width="10" bestFit="1" customWidth="1"/>
    <col min="28" max="29" width="9.1796875" hidden="1" customWidth="1"/>
  </cols>
  <sheetData>
    <row r="1" spans="1:29" x14ac:dyDescent="0.35">
      <c r="A1" s="1" t="s">
        <v>57</v>
      </c>
      <c r="G1" s="30"/>
      <c r="H1" s="30"/>
      <c r="I1" s="30"/>
      <c r="J1" s="30"/>
      <c r="K1" s="30"/>
    </row>
    <row r="2" spans="1:29" x14ac:dyDescent="0.35">
      <c r="A2" s="2"/>
      <c r="G2" s="30"/>
      <c r="H2" s="30"/>
      <c r="I2" s="30"/>
      <c r="J2" s="30"/>
      <c r="K2" s="30"/>
    </row>
    <row r="3" spans="1:29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29" x14ac:dyDescent="0.35">
      <c r="A4" s="1"/>
      <c r="G4" s="30"/>
      <c r="H4" s="30"/>
      <c r="I4" s="30"/>
      <c r="J4" s="30"/>
      <c r="K4" s="30"/>
      <c r="R4" s="5"/>
      <c r="S4" s="6"/>
    </row>
    <row r="5" spans="1:29" x14ac:dyDescent="0.35">
      <c r="A5" s="1" t="s">
        <v>63</v>
      </c>
      <c r="C5" t="s">
        <v>85</v>
      </c>
      <c r="G5" s="30"/>
      <c r="H5" s="30"/>
      <c r="I5" s="30"/>
      <c r="J5" s="30"/>
      <c r="K5" s="30"/>
      <c r="Q5" t="s">
        <v>60</v>
      </c>
      <c r="R5" s="1">
        <v>2019</v>
      </c>
    </row>
    <row r="6" spans="1:29" x14ac:dyDescent="0.35">
      <c r="A6" s="1" t="s">
        <v>62</v>
      </c>
      <c r="C6" t="s">
        <v>87</v>
      </c>
      <c r="G6" s="30"/>
      <c r="H6" s="30"/>
      <c r="I6" s="30"/>
      <c r="J6" s="30"/>
      <c r="K6" s="30"/>
      <c r="Q6" t="s">
        <v>93</v>
      </c>
      <c r="R6" s="1" t="s">
        <v>202</v>
      </c>
    </row>
    <row r="7" spans="1:29" x14ac:dyDescent="0.35">
      <c r="A7" s="1" t="s">
        <v>64</v>
      </c>
      <c r="C7" t="s">
        <v>53</v>
      </c>
      <c r="G7" s="30"/>
      <c r="H7" s="30"/>
      <c r="I7" s="30"/>
      <c r="J7" s="30"/>
      <c r="K7" s="30"/>
    </row>
    <row r="8" spans="1:29" s="11" customFormat="1" x14ac:dyDescent="0.35">
      <c r="A8" s="290" t="s">
        <v>3</v>
      </c>
      <c r="B8" s="290" t="s">
        <v>4</v>
      </c>
      <c r="C8" s="290" t="s">
        <v>23</v>
      </c>
      <c r="D8" s="290" t="s">
        <v>6</v>
      </c>
      <c r="E8" s="290"/>
      <c r="F8" s="290"/>
      <c r="G8" s="290"/>
      <c r="H8" s="290"/>
      <c r="I8" s="290"/>
      <c r="J8" s="290"/>
      <c r="K8" s="290"/>
      <c r="L8" s="290" t="s">
        <v>22</v>
      </c>
      <c r="M8" s="290"/>
      <c r="N8" s="290"/>
      <c r="O8" s="290"/>
      <c r="P8" s="8"/>
      <c r="Q8" s="9"/>
      <c r="R8" s="10"/>
      <c r="S8" s="8"/>
      <c r="AB8" s="11" t="s">
        <v>54</v>
      </c>
      <c r="AC8" s="11" t="s">
        <v>54</v>
      </c>
    </row>
    <row r="9" spans="1:29" s="11" customFormat="1" ht="43.5" x14ac:dyDescent="0.35">
      <c r="A9" s="290"/>
      <c r="B9" s="290"/>
      <c r="C9" s="290"/>
      <c r="D9" s="291" t="s">
        <v>7</v>
      </c>
      <c r="E9" s="291"/>
      <c r="F9" s="291"/>
      <c r="G9" s="291"/>
      <c r="H9" s="297" t="s">
        <v>12</v>
      </c>
      <c r="I9" s="297"/>
      <c r="J9" s="297"/>
      <c r="K9" s="297"/>
      <c r="L9" s="291" t="s">
        <v>13</v>
      </c>
      <c r="M9" s="291"/>
      <c r="N9" s="291" t="s">
        <v>15</v>
      </c>
      <c r="O9" s="291"/>
      <c r="P9" s="12"/>
      <c r="Q9" s="288" t="s">
        <v>17</v>
      </c>
      <c r="R9" s="289"/>
      <c r="S9" s="12" t="s">
        <v>104</v>
      </c>
      <c r="V9" s="11" t="s">
        <v>15</v>
      </c>
      <c r="AB9" s="11" t="s">
        <v>56</v>
      </c>
      <c r="AC9" s="11" t="s">
        <v>56</v>
      </c>
    </row>
    <row r="10" spans="1:29" s="11" customFormat="1" ht="43.5" x14ac:dyDescent="0.35">
      <c r="A10" s="290"/>
      <c r="B10" s="290"/>
      <c r="C10" s="290"/>
      <c r="D10" s="13" t="s">
        <v>8</v>
      </c>
      <c r="E10" s="13" t="s">
        <v>9</v>
      </c>
      <c r="F10" s="13" t="s">
        <v>10</v>
      </c>
      <c r="G10" s="35" t="s">
        <v>11</v>
      </c>
      <c r="H10" s="35" t="s">
        <v>0</v>
      </c>
      <c r="I10" s="35" t="s">
        <v>1</v>
      </c>
      <c r="J10" s="35" t="s">
        <v>2</v>
      </c>
      <c r="K10" s="35" t="s">
        <v>11</v>
      </c>
      <c r="L10" s="13" t="s">
        <v>14</v>
      </c>
      <c r="M10" s="13" t="s">
        <v>21</v>
      </c>
      <c r="N10" s="13" t="s">
        <v>14</v>
      </c>
      <c r="O10" s="13" t="s">
        <v>21</v>
      </c>
      <c r="P10" s="14" t="s">
        <v>16</v>
      </c>
      <c r="Q10" s="13" t="s">
        <v>19</v>
      </c>
      <c r="R10" s="13" t="s">
        <v>20</v>
      </c>
      <c r="S10" s="14"/>
      <c r="V10" s="11" t="s">
        <v>14</v>
      </c>
      <c r="W10" s="11" t="s">
        <v>21</v>
      </c>
      <c r="AB10" s="11" t="s">
        <v>55</v>
      </c>
      <c r="AC10" s="11" t="s">
        <v>55</v>
      </c>
    </row>
    <row r="11" spans="1:29" x14ac:dyDescent="0.35">
      <c r="A11" s="3">
        <v>1</v>
      </c>
      <c r="B11" s="4" t="s">
        <v>5</v>
      </c>
      <c r="C11" s="4"/>
      <c r="D11" s="4"/>
      <c r="E11" s="4"/>
      <c r="F11" s="4"/>
      <c r="G11" s="25"/>
      <c r="H11" s="25"/>
      <c r="I11" s="25"/>
      <c r="J11" s="25"/>
      <c r="K11" s="25"/>
      <c r="L11" s="4"/>
      <c r="M11" s="4"/>
      <c r="N11" s="4"/>
      <c r="O11" s="4"/>
      <c r="P11" s="7" t="s">
        <v>67</v>
      </c>
      <c r="Q11" s="7"/>
      <c r="R11" s="7"/>
      <c r="S11" s="7"/>
      <c r="AB11" t="e">
        <f>CONCATENATE(#REF!,B11)</f>
        <v>#REF!</v>
      </c>
      <c r="AC11" t="str">
        <f>IF(L11="","",L11/M11)</f>
        <v/>
      </c>
    </row>
    <row r="12" spans="1:29" x14ac:dyDescent="0.35">
      <c r="A12" s="3">
        <v>2</v>
      </c>
      <c r="B12" s="4" t="s">
        <v>25</v>
      </c>
      <c r="C12" s="4"/>
      <c r="D12" s="4"/>
      <c r="E12" s="4"/>
      <c r="F12" s="4"/>
      <c r="G12" s="25"/>
      <c r="H12" s="25"/>
      <c r="I12" s="25"/>
      <c r="J12" s="25"/>
      <c r="K12" s="25"/>
      <c r="L12" s="4"/>
      <c r="M12" s="4"/>
      <c r="N12" s="4"/>
      <c r="O12" s="4"/>
      <c r="P12" s="7" t="s">
        <v>68</v>
      </c>
      <c r="Q12" s="7"/>
      <c r="R12" s="7"/>
      <c r="S12" s="7"/>
      <c r="AB12" t="e">
        <f>CONCATENATE(#REF!,B12)</f>
        <v>#REF!</v>
      </c>
      <c r="AC12" t="str">
        <f t="shared" ref="AC12:AC20" si="0">IF(L12="","",L12/M12)</f>
        <v/>
      </c>
    </row>
    <row r="13" spans="1:29" x14ac:dyDescent="0.35">
      <c r="A13" s="3">
        <v>3</v>
      </c>
      <c r="B13" s="7" t="s">
        <v>26</v>
      </c>
      <c r="C13" s="7"/>
      <c r="D13" s="7"/>
      <c r="E13" s="7"/>
      <c r="F13" s="7"/>
      <c r="G13" s="22"/>
      <c r="H13" s="22"/>
      <c r="I13" s="22"/>
      <c r="J13" s="22"/>
      <c r="K13" s="22"/>
      <c r="L13" s="7"/>
      <c r="M13" s="7"/>
      <c r="N13" s="7"/>
      <c r="O13" s="7"/>
      <c r="P13" s="7" t="s">
        <v>68</v>
      </c>
      <c r="Q13" s="7"/>
      <c r="R13" s="7"/>
      <c r="S13" s="7"/>
      <c r="AB13" t="e">
        <f>CONCATENATE(#REF!,B13)</f>
        <v>#REF!</v>
      </c>
      <c r="AC13" t="str">
        <f t="shared" si="0"/>
        <v/>
      </c>
    </row>
    <row r="14" spans="1:29" x14ac:dyDescent="0.35">
      <c r="A14" s="3">
        <v>4</v>
      </c>
      <c r="B14" s="7" t="s">
        <v>27</v>
      </c>
      <c r="C14" s="7"/>
      <c r="D14" s="7"/>
      <c r="E14" s="7"/>
      <c r="F14" s="7"/>
      <c r="G14" s="22"/>
      <c r="H14" s="22"/>
      <c r="I14" s="22"/>
      <c r="J14" s="22"/>
      <c r="K14" s="22"/>
      <c r="L14" s="7"/>
      <c r="M14" s="7"/>
      <c r="N14" s="7"/>
      <c r="O14" s="7"/>
      <c r="P14" s="7" t="s">
        <v>69</v>
      </c>
      <c r="Q14" s="7"/>
      <c r="R14" s="7"/>
      <c r="S14" s="7"/>
      <c r="AB14" t="e">
        <f>CONCATENATE(#REF!,B14)</f>
        <v>#REF!</v>
      </c>
      <c r="AC14" t="str">
        <f t="shared" si="0"/>
        <v/>
      </c>
    </row>
    <row r="15" spans="1:29" x14ac:dyDescent="0.35">
      <c r="A15" s="3">
        <v>5</v>
      </c>
      <c r="B15" s="7" t="s">
        <v>28</v>
      </c>
      <c r="C15" s="7"/>
      <c r="D15" s="7"/>
      <c r="E15" s="7"/>
      <c r="F15" s="7"/>
      <c r="G15" s="22"/>
      <c r="H15" s="22"/>
      <c r="I15" s="22"/>
      <c r="J15" s="22"/>
      <c r="K15" s="22"/>
      <c r="L15" s="7"/>
      <c r="M15" s="7"/>
      <c r="N15" s="7"/>
      <c r="O15" s="7"/>
      <c r="P15" s="7" t="s">
        <v>70</v>
      </c>
      <c r="Q15" s="7"/>
      <c r="R15" s="7"/>
      <c r="S15" s="7"/>
      <c r="AB15" t="e">
        <f>CONCATENATE(#REF!,B15)</f>
        <v>#REF!</v>
      </c>
      <c r="AC15" t="str">
        <f t="shared" si="0"/>
        <v/>
      </c>
    </row>
    <row r="16" spans="1:29" x14ac:dyDescent="0.35">
      <c r="A16" s="3">
        <v>6</v>
      </c>
      <c r="B16" s="7" t="s">
        <v>29</v>
      </c>
      <c r="C16" s="7"/>
      <c r="D16" s="7"/>
      <c r="E16" s="7"/>
      <c r="F16" s="7"/>
      <c r="G16" s="22"/>
      <c r="H16" s="22"/>
      <c r="I16" s="22"/>
      <c r="J16" s="22"/>
      <c r="K16" s="22"/>
      <c r="L16" s="7"/>
      <c r="M16" s="7"/>
      <c r="N16" s="7"/>
      <c r="O16" s="7"/>
      <c r="P16" s="7" t="s">
        <v>70</v>
      </c>
      <c r="Q16" s="7"/>
      <c r="R16" s="7"/>
      <c r="S16" s="7"/>
      <c r="AB16" t="e">
        <f>CONCATENATE(#REF!,B16)</f>
        <v>#REF!</v>
      </c>
      <c r="AC16" t="str">
        <f t="shared" si="0"/>
        <v/>
      </c>
    </row>
    <row r="17" spans="1:29" x14ac:dyDescent="0.35">
      <c r="A17" s="3">
        <v>7</v>
      </c>
      <c r="B17" s="7" t="s">
        <v>30</v>
      </c>
      <c r="C17" s="7"/>
      <c r="D17" s="7"/>
      <c r="E17" s="7"/>
      <c r="F17" s="7"/>
      <c r="G17" s="22"/>
      <c r="H17" s="22"/>
      <c r="I17" s="22"/>
      <c r="J17" s="22"/>
      <c r="K17" s="22"/>
      <c r="L17" s="7"/>
      <c r="M17" s="7"/>
      <c r="N17" s="7"/>
      <c r="O17" s="7"/>
      <c r="P17" s="7" t="s">
        <v>71</v>
      </c>
      <c r="Q17" s="7"/>
      <c r="R17" s="7"/>
      <c r="S17" s="7"/>
      <c r="AB17" t="e">
        <f>CONCATENATE(#REF!,B17)</f>
        <v>#REF!</v>
      </c>
      <c r="AC17" t="str">
        <f t="shared" si="0"/>
        <v/>
      </c>
    </row>
    <row r="18" spans="1:29" x14ac:dyDescent="0.35">
      <c r="A18" s="3">
        <v>8</v>
      </c>
      <c r="B18" s="7" t="s">
        <v>31</v>
      </c>
      <c r="C18" s="7"/>
      <c r="D18" s="7"/>
      <c r="E18" s="7"/>
      <c r="F18" s="7"/>
      <c r="G18" s="22"/>
      <c r="H18" s="22"/>
      <c r="I18" s="22"/>
      <c r="J18" s="22"/>
      <c r="K18" s="22"/>
      <c r="L18" s="7"/>
      <c r="M18" s="7"/>
      <c r="N18" s="7"/>
      <c r="O18" s="7"/>
      <c r="P18" s="7" t="s">
        <v>72</v>
      </c>
      <c r="Q18" s="7"/>
      <c r="R18" s="7"/>
      <c r="S18" s="7"/>
      <c r="AB18" t="e">
        <f>CONCATENATE(#REF!,B18)</f>
        <v>#REF!</v>
      </c>
      <c r="AC18" t="str">
        <f t="shared" si="0"/>
        <v/>
      </c>
    </row>
    <row r="19" spans="1:29" x14ac:dyDescent="0.35">
      <c r="A19" s="3">
        <v>9</v>
      </c>
      <c r="B19" s="7" t="s">
        <v>32</v>
      </c>
      <c r="C19" s="7"/>
      <c r="D19" s="7"/>
      <c r="E19" s="7"/>
      <c r="F19" s="7"/>
      <c r="G19" s="22"/>
      <c r="H19" s="22"/>
      <c r="I19" s="22"/>
      <c r="J19" s="22"/>
      <c r="K19" s="22"/>
      <c r="L19" s="7"/>
      <c r="M19" s="7"/>
      <c r="N19" s="7"/>
      <c r="O19" s="7"/>
      <c r="P19" s="7" t="s">
        <v>72</v>
      </c>
      <c r="Q19" s="7"/>
      <c r="R19" s="7"/>
      <c r="S19" s="7"/>
      <c r="AB19" t="e">
        <f>CONCATENATE(#REF!,B19)</f>
        <v>#REF!</v>
      </c>
      <c r="AC19" t="str">
        <f t="shared" si="0"/>
        <v/>
      </c>
    </row>
    <row r="20" spans="1:29" x14ac:dyDescent="0.35">
      <c r="A20" s="3">
        <v>10</v>
      </c>
      <c r="B20" s="7" t="s">
        <v>33</v>
      </c>
      <c r="C20" s="7"/>
      <c r="D20" s="7"/>
      <c r="E20" s="7"/>
      <c r="F20" s="7"/>
      <c r="G20" s="22"/>
      <c r="H20" s="22"/>
      <c r="I20" s="22"/>
      <c r="J20" s="22"/>
      <c r="K20" s="22"/>
      <c r="L20" s="7"/>
      <c r="M20" s="7"/>
      <c r="N20" s="7"/>
      <c r="O20" s="7"/>
      <c r="P20" s="7" t="s">
        <v>72</v>
      </c>
      <c r="Q20" s="7"/>
      <c r="R20" s="7"/>
      <c r="S20" s="7"/>
      <c r="AB20" t="e">
        <f>CONCATENATE(#REF!,B20)</f>
        <v>#REF!</v>
      </c>
      <c r="AC20" t="str">
        <f t="shared" si="0"/>
        <v/>
      </c>
    </row>
    <row r="21" spans="1:29" x14ac:dyDescent="0.35">
      <c r="A21" s="3">
        <v>11</v>
      </c>
      <c r="B21" s="62" t="s">
        <v>96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AB21" t="e">
        <f>CONCATENATE(#REF!,B22)</f>
        <v>#REF!</v>
      </c>
      <c r="AC21" t="str">
        <f t="shared" ref="AC21:AC37" si="1">IF(L22="","",L22/M22)</f>
        <v/>
      </c>
    </row>
    <row r="22" spans="1:29" x14ac:dyDescent="0.35">
      <c r="A22" s="3">
        <v>12</v>
      </c>
      <c r="B22" s="7" t="s">
        <v>34</v>
      </c>
      <c r="C22" s="7"/>
      <c r="D22" s="7"/>
      <c r="E22" s="7"/>
      <c r="F22" s="7"/>
      <c r="G22" s="22"/>
      <c r="H22" s="22"/>
      <c r="I22" s="22"/>
      <c r="J22" s="22"/>
      <c r="K22" s="22"/>
      <c r="L22" s="7"/>
      <c r="M22" s="7"/>
      <c r="N22" s="7"/>
      <c r="O22" s="7"/>
      <c r="P22" s="7" t="s">
        <v>73</v>
      </c>
      <c r="Q22" s="7"/>
      <c r="R22" s="7"/>
      <c r="S22" s="7"/>
      <c r="AB22" t="e">
        <f>CONCATENATE(#REF!,B23)</f>
        <v>#REF!</v>
      </c>
      <c r="AC22">
        <f t="shared" si="1"/>
        <v>611.78901087258805</v>
      </c>
    </row>
    <row r="23" spans="1:29" x14ac:dyDescent="0.35">
      <c r="A23" s="3">
        <v>13</v>
      </c>
      <c r="B23" s="7" t="s">
        <v>35</v>
      </c>
      <c r="C23" s="23">
        <f>65+630</f>
        <v>695</v>
      </c>
      <c r="D23" s="36">
        <v>0</v>
      </c>
      <c r="E23" s="36">
        <v>0</v>
      </c>
      <c r="F23" s="36">
        <v>0</v>
      </c>
      <c r="G23" s="20">
        <f>C23+E23-F23</f>
        <v>695</v>
      </c>
      <c r="H23" s="20">
        <f>65-6</f>
        <v>59</v>
      </c>
      <c r="I23" s="20">
        <f>596+6</f>
        <v>602</v>
      </c>
      <c r="J23" s="20">
        <v>34</v>
      </c>
      <c r="K23" s="20">
        <f>SUM(H23:J23)</f>
        <v>695</v>
      </c>
      <c r="L23" s="20">
        <v>461968</v>
      </c>
      <c r="M23" s="20">
        <v>755.11</v>
      </c>
      <c r="N23" s="20">
        <f>O23*I23</f>
        <v>365414</v>
      </c>
      <c r="O23" s="20">
        <v>607</v>
      </c>
      <c r="P23" s="7" t="s">
        <v>74</v>
      </c>
      <c r="Q23" s="17">
        <f>3529-1500</f>
        <v>2029</v>
      </c>
      <c r="R23" s="18"/>
      <c r="S23" s="19"/>
      <c r="U23" s="28"/>
      <c r="V23">
        <v>138272</v>
      </c>
      <c r="W23">
        <v>232</v>
      </c>
      <c r="AB23" t="e">
        <f>CONCATENATE(#REF!,B24)</f>
        <v>#REF!</v>
      </c>
      <c r="AC23">
        <f t="shared" si="1"/>
        <v>46</v>
      </c>
    </row>
    <row r="24" spans="1:29" x14ac:dyDescent="0.35">
      <c r="A24" s="3">
        <v>14</v>
      </c>
      <c r="B24" s="7" t="s">
        <v>36</v>
      </c>
      <c r="C24" s="23">
        <f>398.475-350.275</f>
        <v>48.200000000000045</v>
      </c>
      <c r="D24" s="36">
        <v>0</v>
      </c>
      <c r="E24" s="36">
        <v>0</v>
      </c>
      <c r="F24" s="36">
        <v>0</v>
      </c>
      <c r="G24" s="20">
        <f>C24+E24-F24</f>
        <v>48.200000000000045</v>
      </c>
      <c r="H24" s="36">
        <v>0</v>
      </c>
      <c r="I24" s="20">
        <f>46.2-0.2</f>
        <v>46</v>
      </c>
      <c r="J24" s="20">
        <f>2+0.2</f>
        <v>2.2000000000000002</v>
      </c>
      <c r="K24" s="20">
        <f>SUM(H24:J24)</f>
        <v>48.2</v>
      </c>
      <c r="L24" s="20">
        <v>289945.82</v>
      </c>
      <c r="M24" s="20">
        <v>6303.17</v>
      </c>
      <c r="N24" s="20">
        <f>O24*I24</f>
        <v>287500</v>
      </c>
      <c r="O24" s="20">
        <v>6250</v>
      </c>
      <c r="P24" s="7" t="s">
        <v>75</v>
      </c>
      <c r="Q24" s="18">
        <f>175+300</f>
        <v>475</v>
      </c>
      <c r="R24" s="19"/>
      <c r="S24" s="19"/>
      <c r="U24" s="28"/>
      <c r="V24">
        <v>102580</v>
      </c>
      <c r="W24">
        <v>2230</v>
      </c>
      <c r="AB24" t="e">
        <f>CONCATENATE(#REF!,B25)</f>
        <v>#REF!</v>
      </c>
      <c r="AC24" t="str">
        <f t="shared" si="1"/>
        <v/>
      </c>
    </row>
    <row r="25" spans="1:29" x14ac:dyDescent="0.35">
      <c r="A25" s="3">
        <v>15</v>
      </c>
      <c r="B25" s="7" t="s">
        <v>37</v>
      </c>
      <c r="C25" s="7"/>
      <c r="D25" s="7"/>
      <c r="E25" s="7"/>
      <c r="F25" s="7"/>
      <c r="G25" s="22"/>
      <c r="H25" s="22"/>
      <c r="I25" s="22"/>
      <c r="J25" s="22"/>
      <c r="K25" s="22"/>
      <c r="L25" s="7"/>
      <c r="M25" s="7"/>
      <c r="N25" s="7"/>
      <c r="O25" s="7"/>
      <c r="P25" s="7" t="s">
        <v>74</v>
      </c>
      <c r="Q25" s="7"/>
      <c r="R25" s="7"/>
      <c r="S25" s="7"/>
      <c r="AB25" t="e">
        <f>CONCATENATE(#REF!,B26)</f>
        <v>#REF!</v>
      </c>
      <c r="AC25" t="str">
        <f t="shared" si="1"/>
        <v/>
      </c>
    </row>
    <row r="26" spans="1:29" x14ac:dyDescent="0.35">
      <c r="A26" s="3">
        <v>16</v>
      </c>
      <c r="B26" s="7" t="s">
        <v>38</v>
      </c>
      <c r="C26" s="7"/>
      <c r="D26" s="7"/>
      <c r="E26" s="7"/>
      <c r="F26" s="7"/>
      <c r="G26" s="22"/>
      <c r="H26" s="22"/>
      <c r="I26" s="22"/>
      <c r="J26" s="22"/>
      <c r="K26" s="22"/>
      <c r="L26" s="7"/>
      <c r="M26" s="7"/>
      <c r="N26" s="7"/>
      <c r="O26" s="7"/>
      <c r="P26" s="7" t="s">
        <v>76</v>
      </c>
      <c r="Q26" s="7"/>
      <c r="R26" s="7"/>
      <c r="S26" s="7"/>
      <c r="AB26" t="e">
        <f>CONCATENATE(#REF!,B27)</f>
        <v>#REF!</v>
      </c>
      <c r="AC26" t="str">
        <f t="shared" si="1"/>
        <v/>
      </c>
    </row>
    <row r="27" spans="1:29" x14ac:dyDescent="0.35">
      <c r="A27" s="3">
        <v>17</v>
      </c>
      <c r="B27" s="7" t="s">
        <v>39</v>
      </c>
      <c r="C27" s="7"/>
      <c r="D27" s="7"/>
      <c r="E27" s="7"/>
      <c r="F27" s="7"/>
      <c r="G27" s="22"/>
      <c r="H27" s="22"/>
      <c r="I27" s="22"/>
      <c r="J27" s="22"/>
      <c r="K27" s="22"/>
      <c r="L27" s="7"/>
      <c r="M27" s="7"/>
      <c r="N27" s="7"/>
      <c r="O27" s="7"/>
      <c r="P27" s="7" t="s">
        <v>77</v>
      </c>
      <c r="Q27" s="7"/>
      <c r="R27" s="7"/>
      <c r="S27" s="7"/>
      <c r="AB27" t="e">
        <f>CONCATENATE(#REF!,B28)</f>
        <v>#REF!</v>
      </c>
      <c r="AC27" t="str">
        <f t="shared" si="1"/>
        <v/>
      </c>
    </row>
    <row r="28" spans="1:29" x14ac:dyDescent="0.35">
      <c r="A28" s="3">
        <v>18</v>
      </c>
      <c r="B28" s="7" t="s">
        <v>40</v>
      </c>
      <c r="C28" s="7"/>
      <c r="D28" s="7"/>
      <c r="E28" s="7"/>
      <c r="F28" s="7"/>
      <c r="G28" s="22"/>
      <c r="H28" s="22"/>
      <c r="I28" s="22"/>
      <c r="J28" s="22"/>
      <c r="K28" s="22"/>
      <c r="L28" s="7"/>
      <c r="M28" s="7"/>
      <c r="N28" s="7"/>
      <c r="O28" s="7"/>
      <c r="P28" s="7" t="s">
        <v>78</v>
      </c>
      <c r="Q28" s="7"/>
      <c r="R28" s="7"/>
      <c r="S28" s="7"/>
      <c r="AB28" t="e">
        <f>CONCATENATE(#REF!,B29)</f>
        <v>#REF!</v>
      </c>
      <c r="AC28" t="str">
        <f t="shared" si="1"/>
        <v/>
      </c>
    </row>
    <row r="29" spans="1:29" x14ac:dyDescent="0.35">
      <c r="A29" s="3">
        <v>19</v>
      </c>
      <c r="B29" s="7" t="s">
        <v>41</v>
      </c>
      <c r="C29" s="7"/>
      <c r="D29" s="7"/>
      <c r="E29" s="7"/>
      <c r="F29" s="7"/>
      <c r="G29" s="22"/>
      <c r="H29" s="22"/>
      <c r="I29" s="22"/>
      <c r="J29" s="22"/>
      <c r="K29" s="22"/>
      <c r="L29" s="7"/>
      <c r="M29" s="7"/>
      <c r="N29" s="7"/>
      <c r="O29" s="7"/>
      <c r="P29" s="7" t="s">
        <v>79</v>
      </c>
      <c r="Q29" s="7"/>
      <c r="R29" s="7"/>
      <c r="S29" s="7"/>
      <c r="AB29" t="e">
        <f>CONCATENATE(#REF!,B30)</f>
        <v>#REF!</v>
      </c>
      <c r="AC29" t="str">
        <f t="shared" si="1"/>
        <v/>
      </c>
    </row>
    <row r="30" spans="1:29" x14ac:dyDescent="0.35">
      <c r="A30" s="3">
        <v>20</v>
      </c>
      <c r="B30" s="7" t="s">
        <v>42</v>
      </c>
      <c r="C30" s="7"/>
      <c r="D30" s="7"/>
      <c r="E30" s="7"/>
      <c r="F30" s="7"/>
      <c r="G30" s="22"/>
      <c r="H30" s="22"/>
      <c r="I30" s="22"/>
      <c r="J30" s="22"/>
      <c r="K30" s="22"/>
      <c r="L30" s="7"/>
      <c r="M30" s="7"/>
      <c r="N30" s="7"/>
      <c r="O30" s="7"/>
      <c r="P30" s="7" t="s">
        <v>80</v>
      </c>
      <c r="Q30" s="7"/>
      <c r="R30" s="7"/>
      <c r="S30" s="7"/>
      <c r="AB30" t="e">
        <f>CONCATENATE(#REF!,B31)</f>
        <v>#REF!</v>
      </c>
      <c r="AC30" t="str">
        <f t="shared" si="1"/>
        <v/>
      </c>
    </row>
    <row r="31" spans="1:29" x14ac:dyDescent="0.35">
      <c r="A31" s="3">
        <v>21</v>
      </c>
      <c r="B31" s="7" t="s">
        <v>43</v>
      </c>
      <c r="C31" s="7"/>
      <c r="D31" s="7"/>
      <c r="E31" s="7"/>
      <c r="F31" s="7"/>
      <c r="G31" s="22"/>
      <c r="H31" s="22"/>
      <c r="I31" s="22"/>
      <c r="J31" s="22"/>
      <c r="K31" s="22"/>
      <c r="L31" s="7"/>
      <c r="M31" s="7"/>
      <c r="N31" s="7"/>
      <c r="O31" s="7"/>
      <c r="P31" s="7" t="s">
        <v>69</v>
      </c>
      <c r="Q31" s="7"/>
      <c r="R31" s="7"/>
      <c r="S31" s="7"/>
      <c r="AB31" t="e">
        <f>CONCATENATE(#REF!,B32)</f>
        <v>#REF!</v>
      </c>
      <c r="AC31" t="str">
        <f t="shared" si="1"/>
        <v/>
      </c>
    </row>
    <row r="32" spans="1:29" x14ac:dyDescent="0.35">
      <c r="A32" s="3">
        <v>22</v>
      </c>
      <c r="B32" s="7" t="s">
        <v>44</v>
      </c>
      <c r="C32" s="7"/>
      <c r="D32" s="7"/>
      <c r="E32" s="7"/>
      <c r="F32" s="7"/>
      <c r="G32" s="22"/>
      <c r="H32" s="22"/>
      <c r="I32" s="22"/>
      <c r="J32" s="22"/>
      <c r="K32" s="22"/>
      <c r="L32" s="7"/>
      <c r="M32" s="7"/>
      <c r="N32" s="7"/>
      <c r="O32" s="7"/>
      <c r="P32" s="7" t="s">
        <v>81</v>
      </c>
      <c r="Q32" s="7"/>
      <c r="R32" s="7"/>
      <c r="S32" s="7"/>
      <c r="AB32" t="e">
        <f>CONCATENATE(#REF!,B33)</f>
        <v>#REF!</v>
      </c>
      <c r="AC32" t="str">
        <f t="shared" si="1"/>
        <v/>
      </c>
    </row>
    <row r="33" spans="1:29" x14ac:dyDescent="0.35">
      <c r="A33" s="3">
        <v>23</v>
      </c>
      <c r="B33" s="7" t="s">
        <v>45</v>
      </c>
      <c r="C33" s="7"/>
      <c r="D33" s="7"/>
      <c r="E33" s="7"/>
      <c r="F33" s="7"/>
      <c r="G33" s="22"/>
      <c r="H33" s="22"/>
      <c r="I33" s="22"/>
      <c r="J33" s="22"/>
      <c r="K33" s="22"/>
      <c r="L33" s="7"/>
      <c r="M33" s="7"/>
      <c r="N33" s="7"/>
      <c r="O33" s="7"/>
      <c r="P33" s="7" t="s">
        <v>81</v>
      </c>
      <c r="Q33" s="7"/>
      <c r="R33" s="7"/>
      <c r="S33" s="7"/>
      <c r="AB33" t="e">
        <f>CONCATENATE(#REF!,B34)</f>
        <v>#REF!</v>
      </c>
      <c r="AC33" t="str">
        <f t="shared" si="1"/>
        <v/>
      </c>
    </row>
    <row r="34" spans="1:29" x14ac:dyDescent="0.35">
      <c r="A34" s="3">
        <v>24</v>
      </c>
      <c r="B34" s="7" t="s">
        <v>46</v>
      </c>
      <c r="C34" s="7"/>
      <c r="D34" s="7"/>
      <c r="E34" s="7"/>
      <c r="F34" s="7"/>
      <c r="G34" s="22"/>
      <c r="H34" s="22"/>
      <c r="I34" s="22"/>
      <c r="J34" s="22"/>
      <c r="K34" s="22"/>
      <c r="L34" s="7"/>
      <c r="M34" s="7"/>
      <c r="N34" s="7"/>
      <c r="O34" s="7"/>
      <c r="P34" s="7" t="s">
        <v>72</v>
      </c>
      <c r="Q34" s="7"/>
      <c r="R34" s="7"/>
      <c r="S34" s="7"/>
      <c r="AB34" t="e">
        <f>CONCATENATE(#REF!,B35)</f>
        <v>#REF!</v>
      </c>
      <c r="AC34" t="str">
        <f t="shared" si="1"/>
        <v/>
      </c>
    </row>
    <row r="35" spans="1:29" x14ac:dyDescent="0.35">
      <c r="A35" s="3">
        <v>25</v>
      </c>
      <c r="B35" s="7" t="s">
        <v>47</v>
      </c>
      <c r="C35" s="7"/>
      <c r="D35" s="7"/>
      <c r="E35" s="7"/>
      <c r="F35" s="7"/>
      <c r="G35" s="22"/>
      <c r="H35" s="22"/>
      <c r="I35" s="22"/>
      <c r="J35" s="22"/>
      <c r="K35" s="22"/>
      <c r="L35" s="7"/>
      <c r="M35" s="7"/>
      <c r="N35" s="7"/>
      <c r="O35" s="7"/>
      <c r="P35" s="7" t="s">
        <v>75</v>
      </c>
      <c r="Q35" s="7"/>
      <c r="R35" s="7"/>
      <c r="S35" s="7"/>
      <c r="AB35" t="e">
        <f>CONCATENATE(#REF!,B36)</f>
        <v>#REF!</v>
      </c>
      <c r="AC35" t="str">
        <f t="shared" si="1"/>
        <v/>
      </c>
    </row>
    <row r="36" spans="1:29" x14ac:dyDescent="0.35">
      <c r="A36" s="3">
        <v>26</v>
      </c>
      <c r="B36" s="7" t="s">
        <v>48</v>
      </c>
      <c r="C36" s="7"/>
      <c r="D36" s="7"/>
      <c r="E36" s="7"/>
      <c r="F36" s="7"/>
      <c r="G36" s="22"/>
      <c r="H36" s="22"/>
      <c r="I36" s="22"/>
      <c r="J36" s="22"/>
      <c r="K36" s="22"/>
      <c r="L36" s="7"/>
      <c r="M36" s="7"/>
      <c r="N36" s="7"/>
      <c r="O36" s="7"/>
      <c r="P36" s="7" t="s">
        <v>72</v>
      </c>
      <c r="Q36" s="7"/>
      <c r="R36" s="7"/>
      <c r="S36" s="7"/>
      <c r="AB36" t="e">
        <f>CONCATENATE(#REF!,B37)</f>
        <v>#REF!</v>
      </c>
      <c r="AC36" t="str">
        <f t="shared" si="1"/>
        <v/>
      </c>
    </row>
    <row r="37" spans="1:29" x14ac:dyDescent="0.35">
      <c r="A37" s="3">
        <v>27</v>
      </c>
      <c r="B37" s="7" t="s">
        <v>49</v>
      </c>
      <c r="C37" s="7"/>
      <c r="D37" s="7"/>
      <c r="E37" s="7"/>
      <c r="F37" s="7"/>
      <c r="G37" s="22"/>
      <c r="H37" s="22"/>
      <c r="I37" s="22"/>
      <c r="J37" s="22"/>
      <c r="K37" s="22"/>
      <c r="L37" s="7"/>
      <c r="M37" s="7"/>
      <c r="N37" s="7"/>
      <c r="O37" s="7"/>
      <c r="P37" s="7" t="s">
        <v>84</v>
      </c>
      <c r="Q37" s="7"/>
      <c r="R37" s="7"/>
      <c r="S37" s="7"/>
      <c r="AB37" t="e">
        <f>CONCATENATE(#REF!,B38)</f>
        <v>#REF!</v>
      </c>
      <c r="AC37" t="str">
        <f t="shared" si="1"/>
        <v/>
      </c>
    </row>
    <row r="38" spans="1:29" x14ac:dyDescent="0.35">
      <c r="A38" s="3">
        <v>28</v>
      </c>
      <c r="B38" s="7" t="s">
        <v>50</v>
      </c>
      <c r="C38" s="7"/>
      <c r="D38" s="7"/>
      <c r="E38" s="7"/>
      <c r="F38" s="7"/>
      <c r="G38" s="22"/>
      <c r="H38" s="22"/>
      <c r="I38" s="22"/>
      <c r="J38" s="22"/>
      <c r="K38" s="22"/>
      <c r="L38" s="7"/>
      <c r="M38" s="7"/>
      <c r="N38" s="7"/>
      <c r="O38" s="7"/>
      <c r="P38" s="7" t="s">
        <v>77</v>
      </c>
      <c r="Q38" s="7"/>
      <c r="R38" s="7"/>
      <c r="S38" s="7"/>
      <c r="AB38" t="e">
        <f>CONCATENATE(#REF!,#REF!)</f>
        <v>#REF!</v>
      </c>
    </row>
    <row r="39" spans="1:29" x14ac:dyDescent="0.35">
      <c r="A39" s="3">
        <v>29</v>
      </c>
      <c r="B39" s="7" t="s">
        <v>51</v>
      </c>
      <c r="C39" s="7"/>
      <c r="D39" s="7"/>
      <c r="E39" s="7"/>
      <c r="F39" s="7"/>
      <c r="G39" s="22"/>
      <c r="H39" s="22"/>
      <c r="I39" s="22"/>
      <c r="J39" s="22"/>
      <c r="K39" s="22"/>
      <c r="L39" s="7"/>
      <c r="M39" s="7"/>
      <c r="N39" s="7"/>
      <c r="O39" s="7"/>
      <c r="P39" s="7" t="s">
        <v>82</v>
      </c>
      <c r="Q39" s="7"/>
      <c r="R39" s="7"/>
      <c r="S39" s="7"/>
      <c r="AB39" t="e">
        <f>CONCATENATE(#REF!,B40)</f>
        <v>#REF!</v>
      </c>
      <c r="AC39" t="str">
        <f>IF(L40="","",L40/M40)</f>
        <v/>
      </c>
    </row>
    <row r="40" spans="1:29" x14ac:dyDescent="0.35">
      <c r="A40" s="3">
        <v>30</v>
      </c>
      <c r="B40" s="7" t="s">
        <v>52</v>
      </c>
      <c r="C40" s="7"/>
      <c r="D40" s="7"/>
      <c r="E40" s="7"/>
      <c r="F40" s="7"/>
      <c r="G40" s="22"/>
      <c r="H40" s="22"/>
      <c r="I40" s="22"/>
      <c r="J40" s="22"/>
      <c r="K40" s="22"/>
      <c r="L40" s="7"/>
      <c r="M40" s="7"/>
      <c r="N40" s="7"/>
      <c r="O40" s="7"/>
      <c r="P40" s="7" t="s">
        <v>83</v>
      </c>
      <c r="Q40" s="7"/>
      <c r="R40" s="7"/>
      <c r="S40" s="7"/>
    </row>
    <row r="42" spans="1:29" x14ac:dyDescent="0.35">
      <c r="P42" s="263" t="s">
        <v>110</v>
      </c>
      <c r="Q42" s="263"/>
    </row>
    <row r="43" spans="1:29" x14ac:dyDescent="0.35">
      <c r="P43" s="68"/>
      <c r="Q43" s="68"/>
    </row>
    <row r="44" spans="1:29" x14ac:dyDescent="0.35">
      <c r="P44" s="68"/>
      <c r="Q44" s="68"/>
    </row>
    <row r="45" spans="1:29" x14ac:dyDescent="0.35">
      <c r="P45" s="68"/>
      <c r="Q45" s="68"/>
    </row>
    <row r="46" spans="1:29" x14ac:dyDescent="0.35">
      <c r="P46" s="310" t="s">
        <v>135</v>
      </c>
      <c r="Q46" s="310"/>
    </row>
    <row r="47" spans="1:29" x14ac:dyDescent="0.35">
      <c r="P47" s="68"/>
      <c r="Q47" s="68"/>
    </row>
  </sheetData>
  <mergeCells count="13">
    <mergeCell ref="P42:Q42"/>
    <mergeCell ref="P46:Q46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75" right="0.65" top="0.25" bottom="0.25" header="0.23622047244094499" footer="0.27559055118110198"/>
  <pageSetup paperSize="5" scale="75"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AD47"/>
  <sheetViews>
    <sheetView topLeftCell="A4" zoomScaleNormal="100" workbookViewId="0">
      <selection activeCell="P42" sqref="P42:Q47"/>
    </sheetView>
  </sheetViews>
  <sheetFormatPr defaultRowHeight="14.5" x14ac:dyDescent="0.35"/>
  <cols>
    <col min="1" max="1" width="4.26953125" customWidth="1"/>
    <col min="2" max="2" width="16" bestFit="1" customWidth="1"/>
    <col min="3" max="3" width="16.54296875" customWidth="1"/>
    <col min="4" max="4" width="11.7265625" customWidth="1"/>
    <col min="5" max="5" width="9.7265625" customWidth="1"/>
    <col min="6" max="6" width="12.54296875" bestFit="1" customWidth="1"/>
    <col min="7" max="11" width="9.1796875" style="32"/>
    <col min="12" max="12" width="12.453125" bestFit="1" customWidth="1"/>
    <col min="13" max="13" width="10" bestFit="1" customWidth="1"/>
    <col min="14" max="14" width="9.26953125" bestFit="1" customWidth="1"/>
    <col min="15" max="15" width="14.81640625" customWidth="1"/>
    <col min="16" max="16" width="15.26953125" bestFit="1" customWidth="1"/>
    <col min="17" max="17" width="10.7265625" customWidth="1"/>
    <col min="18" max="18" width="9.1796875" customWidth="1"/>
    <col min="19" max="20" width="5.54296875" customWidth="1"/>
    <col min="29" max="30" width="9.1796875" hidden="1" customWidth="1"/>
  </cols>
  <sheetData>
    <row r="1" spans="1:30" x14ac:dyDescent="0.35">
      <c r="A1" s="1" t="s">
        <v>57</v>
      </c>
      <c r="G1" s="30"/>
      <c r="H1" s="30"/>
      <c r="I1" s="30"/>
      <c r="J1" s="30"/>
      <c r="K1" s="30"/>
    </row>
    <row r="2" spans="1:30" x14ac:dyDescent="0.35">
      <c r="A2" s="2"/>
      <c r="G2" s="30"/>
      <c r="H2" s="30"/>
      <c r="I2" s="30"/>
      <c r="J2" s="30"/>
      <c r="K2" s="30"/>
    </row>
    <row r="3" spans="1:30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113"/>
    </row>
    <row r="4" spans="1:30" x14ac:dyDescent="0.35">
      <c r="A4" s="1"/>
      <c r="G4" s="30"/>
      <c r="H4" s="30"/>
      <c r="I4" s="30"/>
      <c r="J4" s="30"/>
      <c r="K4" s="30"/>
      <c r="R4" s="5"/>
      <c r="S4" s="6"/>
      <c r="T4" s="6"/>
    </row>
    <row r="5" spans="1:30" x14ac:dyDescent="0.35">
      <c r="A5" s="1" t="s">
        <v>63</v>
      </c>
      <c r="C5" t="s">
        <v>97</v>
      </c>
      <c r="G5" s="30"/>
      <c r="H5" s="30"/>
      <c r="I5" s="30"/>
      <c r="J5" s="30"/>
      <c r="K5" s="30"/>
      <c r="Q5" t="s">
        <v>60</v>
      </c>
      <c r="R5" s="1">
        <v>2019</v>
      </c>
    </row>
    <row r="6" spans="1:30" x14ac:dyDescent="0.35">
      <c r="A6" s="1" t="s">
        <v>62</v>
      </c>
      <c r="C6" t="s">
        <v>87</v>
      </c>
      <c r="G6" s="30"/>
      <c r="H6" s="30"/>
      <c r="I6" s="30"/>
      <c r="J6" s="30"/>
      <c r="K6" s="30"/>
      <c r="N6" s="27"/>
      <c r="Q6" t="s">
        <v>93</v>
      </c>
      <c r="R6" s="1" t="s">
        <v>202</v>
      </c>
      <c r="V6">
        <v>4350</v>
      </c>
    </row>
    <row r="7" spans="1:30" x14ac:dyDescent="0.35">
      <c r="A7" s="1" t="s">
        <v>64</v>
      </c>
      <c r="C7" t="s">
        <v>53</v>
      </c>
      <c r="G7" s="30"/>
      <c r="H7" s="30"/>
      <c r="I7" s="30"/>
      <c r="J7" s="30"/>
      <c r="K7" s="30"/>
    </row>
    <row r="8" spans="1:30" s="11" customFormat="1" x14ac:dyDescent="0.35">
      <c r="A8" s="290" t="s">
        <v>3</v>
      </c>
      <c r="B8" s="290" t="s">
        <v>4</v>
      </c>
      <c r="C8" s="290" t="s">
        <v>23</v>
      </c>
      <c r="D8" s="290" t="s">
        <v>6</v>
      </c>
      <c r="E8" s="290"/>
      <c r="F8" s="290"/>
      <c r="G8" s="290"/>
      <c r="H8" s="290"/>
      <c r="I8" s="290"/>
      <c r="J8" s="290"/>
      <c r="K8" s="290"/>
      <c r="L8" s="290" t="s">
        <v>22</v>
      </c>
      <c r="M8" s="290"/>
      <c r="N8" s="290"/>
      <c r="O8" s="290"/>
      <c r="P8" s="8"/>
      <c r="Q8" s="9"/>
      <c r="R8" s="10"/>
      <c r="S8" s="8"/>
      <c r="AC8" s="11" t="s">
        <v>54</v>
      </c>
      <c r="AD8" s="11" t="s">
        <v>54</v>
      </c>
    </row>
    <row r="9" spans="1:30" s="11" customFormat="1" ht="43.5" x14ac:dyDescent="0.35">
      <c r="A9" s="290"/>
      <c r="B9" s="290"/>
      <c r="C9" s="290"/>
      <c r="D9" s="291" t="s">
        <v>7</v>
      </c>
      <c r="E9" s="291"/>
      <c r="F9" s="291"/>
      <c r="G9" s="291"/>
      <c r="H9" s="297" t="s">
        <v>12</v>
      </c>
      <c r="I9" s="297"/>
      <c r="J9" s="297"/>
      <c r="K9" s="297"/>
      <c r="L9" s="291" t="s">
        <v>13</v>
      </c>
      <c r="M9" s="291"/>
      <c r="N9" s="291" t="s">
        <v>15</v>
      </c>
      <c r="O9" s="291"/>
      <c r="P9" s="12"/>
      <c r="Q9" s="288" t="s">
        <v>17</v>
      </c>
      <c r="R9" s="289"/>
      <c r="S9" s="12" t="s">
        <v>104</v>
      </c>
      <c r="T9" s="114"/>
      <c r="V9" s="11" t="s">
        <v>15</v>
      </c>
      <c r="AC9" s="11" t="s">
        <v>56</v>
      </c>
      <c r="AD9" s="11" t="s">
        <v>56</v>
      </c>
    </row>
    <row r="10" spans="1:30" s="11" customFormat="1" ht="43.5" x14ac:dyDescent="0.35">
      <c r="A10" s="290"/>
      <c r="B10" s="290"/>
      <c r="C10" s="290"/>
      <c r="D10" s="13" t="s">
        <v>8</v>
      </c>
      <c r="E10" s="13" t="s">
        <v>9</v>
      </c>
      <c r="F10" s="13" t="s">
        <v>10</v>
      </c>
      <c r="G10" s="35" t="s">
        <v>11</v>
      </c>
      <c r="H10" s="35" t="s">
        <v>0</v>
      </c>
      <c r="I10" s="35" t="s">
        <v>1</v>
      </c>
      <c r="J10" s="35" t="s">
        <v>2</v>
      </c>
      <c r="K10" s="35" t="s">
        <v>11</v>
      </c>
      <c r="L10" s="13" t="s">
        <v>14</v>
      </c>
      <c r="M10" s="13" t="s">
        <v>21</v>
      </c>
      <c r="N10" s="13" t="s">
        <v>14</v>
      </c>
      <c r="O10" s="13" t="s">
        <v>21</v>
      </c>
      <c r="P10" s="14" t="s">
        <v>16</v>
      </c>
      <c r="Q10" s="13" t="s">
        <v>19</v>
      </c>
      <c r="R10" s="13" t="s">
        <v>20</v>
      </c>
      <c r="S10" s="14"/>
      <c r="T10" s="114"/>
      <c r="V10" s="11" t="s">
        <v>14</v>
      </c>
      <c r="W10" s="11" t="s">
        <v>21</v>
      </c>
      <c r="AC10" s="11" t="s">
        <v>55</v>
      </c>
      <c r="AD10" s="11" t="s">
        <v>55</v>
      </c>
    </row>
    <row r="11" spans="1:30" x14ac:dyDescent="0.35">
      <c r="A11" s="3">
        <v>1</v>
      </c>
      <c r="B11" s="4" t="s">
        <v>5</v>
      </c>
      <c r="C11" s="4"/>
      <c r="D11" s="4"/>
      <c r="E11" s="4"/>
      <c r="F11" s="4"/>
      <c r="G11" s="25"/>
      <c r="H11" s="25"/>
      <c r="I11" s="25"/>
      <c r="J11" s="25"/>
      <c r="K11" s="25"/>
      <c r="L11" s="4"/>
      <c r="M11" s="4"/>
      <c r="N11" s="4"/>
      <c r="O11" s="4"/>
      <c r="P11" s="7" t="s">
        <v>67</v>
      </c>
      <c r="Q11" s="7"/>
      <c r="R11" s="7"/>
      <c r="S11" s="7"/>
      <c r="AC11" t="e">
        <f>CONCATENATE(#REF!,B11)</f>
        <v>#REF!</v>
      </c>
      <c r="AD11" t="str">
        <f>IF(L11="","",L11/M11)</f>
        <v/>
      </c>
    </row>
    <row r="12" spans="1:30" x14ac:dyDescent="0.35">
      <c r="A12" s="3">
        <v>2</v>
      </c>
      <c r="B12" s="4" t="s">
        <v>25</v>
      </c>
      <c r="C12" s="4"/>
      <c r="D12" s="4"/>
      <c r="E12" s="4"/>
      <c r="F12" s="4"/>
      <c r="G12" s="25"/>
      <c r="H12" s="25"/>
      <c r="I12" s="25"/>
      <c r="J12" s="25"/>
      <c r="K12" s="25"/>
      <c r="L12" s="4"/>
      <c r="M12" s="4"/>
      <c r="N12" s="4"/>
      <c r="O12" s="4"/>
      <c r="P12" s="7" t="s">
        <v>68</v>
      </c>
      <c r="Q12" s="7"/>
      <c r="R12" s="7"/>
      <c r="S12" s="7"/>
      <c r="AC12" t="e">
        <f>CONCATENATE(#REF!,B12)</f>
        <v>#REF!</v>
      </c>
      <c r="AD12" t="str">
        <f t="shared" ref="AD12:AD20" si="0">IF(L12="","",L12/M12)</f>
        <v/>
      </c>
    </row>
    <row r="13" spans="1:30" x14ac:dyDescent="0.35">
      <c r="A13" s="3">
        <v>3</v>
      </c>
      <c r="B13" s="7" t="s">
        <v>26</v>
      </c>
      <c r="C13" s="7"/>
      <c r="D13" s="7"/>
      <c r="E13" s="7"/>
      <c r="F13" s="7"/>
      <c r="G13" s="22"/>
      <c r="H13" s="22"/>
      <c r="I13" s="22"/>
      <c r="J13" s="22"/>
      <c r="K13" s="22"/>
      <c r="L13" s="7"/>
      <c r="M13" s="7"/>
      <c r="N13" s="7"/>
      <c r="O13" s="7"/>
      <c r="P13" s="7" t="s">
        <v>68</v>
      </c>
      <c r="Q13" s="7"/>
      <c r="R13" s="7"/>
      <c r="S13" s="7"/>
      <c r="AC13" t="e">
        <f>CONCATENATE(#REF!,B13)</f>
        <v>#REF!</v>
      </c>
      <c r="AD13" t="str">
        <f t="shared" si="0"/>
        <v/>
      </c>
    </row>
    <row r="14" spans="1:30" x14ac:dyDescent="0.35">
      <c r="A14" s="3">
        <v>4</v>
      </c>
      <c r="B14" s="7" t="s">
        <v>27</v>
      </c>
      <c r="C14" s="7"/>
      <c r="D14" s="7"/>
      <c r="E14" s="7"/>
      <c r="F14" s="7"/>
      <c r="G14" s="22"/>
      <c r="H14" s="22"/>
      <c r="I14" s="22"/>
      <c r="J14" s="22"/>
      <c r="K14" s="22"/>
      <c r="L14" s="7"/>
      <c r="M14" s="7"/>
      <c r="N14" s="7"/>
      <c r="O14" s="7"/>
      <c r="P14" s="7" t="s">
        <v>69</v>
      </c>
      <c r="Q14" s="7"/>
      <c r="R14" s="7"/>
      <c r="S14" s="7"/>
      <c r="AC14" t="e">
        <f>CONCATENATE(#REF!,B14)</f>
        <v>#REF!</v>
      </c>
      <c r="AD14" t="str">
        <f t="shared" si="0"/>
        <v/>
      </c>
    </row>
    <row r="15" spans="1:30" x14ac:dyDescent="0.35">
      <c r="A15" s="3">
        <v>5</v>
      </c>
      <c r="B15" s="7" t="s">
        <v>28</v>
      </c>
      <c r="C15" s="7"/>
      <c r="D15" s="7"/>
      <c r="E15" s="7"/>
      <c r="F15" s="7"/>
      <c r="G15" s="22"/>
      <c r="H15" s="22"/>
      <c r="I15" s="22"/>
      <c r="J15" s="22"/>
      <c r="K15" s="22"/>
      <c r="L15" s="7"/>
      <c r="M15" s="7"/>
      <c r="N15" s="7"/>
      <c r="O15" s="7"/>
      <c r="P15" s="7" t="s">
        <v>70</v>
      </c>
      <c r="Q15" s="7"/>
      <c r="R15" s="7"/>
      <c r="S15" s="7"/>
      <c r="AC15" t="e">
        <f>CONCATENATE(#REF!,B15)</f>
        <v>#REF!</v>
      </c>
      <c r="AD15" t="str">
        <f t="shared" si="0"/>
        <v/>
      </c>
    </row>
    <row r="16" spans="1:30" x14ac:dyDescent="0.35">
      <c r="A16" s="3">
        <v>6</v>
      </c>
      <c r="B16" s="7" t="s">
        <v>29</v>
      </c>
      <c r="C16" s="7"/>
      <c r="D16" s="7"/>
      <c r="E16" s="7"/>
      <c r="F16" s="7"/>
      <c r="G16" s="22"/>
      <c r="H16" s="22"/>
      <c r="I16" s="22"/>
      <c r="J16" s="22"/>
      <c r="K16" s="22"/>
      <c r="L16" s="7"/>
      <c r="M16" s="7"/>
      <c r="N16" s="7"/>
      <c r="O16" s="7"/>
      <c r="P16" s="7" t="s">
        <v>70</v>
      </c>
      <c r="Q16" s="7"/>
      <c r="R16" s="7"/>
      <c r="S16" s="7"/>
      <c r="AC16" t="e">
        <f>CONCATENATE(#REF!,B16)</f>
        <v>#REF!</v>
      </c>
      <c r="AD16" t="str">
        <f t="shared" si="0"/>
        <v/>
      </c>
    </row>
    <row r="17" spans="1:30" x14ac:dyDescent="0.35">
      <c r="A17" s="3">
        <v>7</v>
      </c>
      <c r="B17" s="7" t="s">
        <v>30</v>
      </c>
      <c r="C17" s="7"/>
      <c r="D17" s="7"/>
      <c r="E17" s="7"/>
      <c r="F17" s="7"/>
      <c r="G17" s="22"/>
      <c r="H17" s="22"/>
      <c r="I17" s="22"/>
      <c r="J17" s="22"/>
      <c r="K17" s="22"/>
      <c r="L17" s="7"/>
      <c r="M17" s="7"/>
      <c r="N17" s="7"/>
      <c r="O17" s="7"/>
      <c r="P17" s="7" t="s">
        <v>71</v>
      </c>
      <c r="Q17" s="7"/>
      <c r="R17" s="7"/>
      <c r="S17" s="7"/>
      <c r="AC17" t="e">
        <f>CONCATENATE(#REF!,B17)</f>
        <v>#REF!</v>
      </c>
      <c r="AD17" t="str">
        <f t="shared" si="0"/>
        <v/>
      </c>
    </row>
    <row r="18" spans="1:30" x14ac:dyDescent="0.35">
      <c r="A18" s="3">
        <v>8</v>
      </c>
      <c r="B18" s="7" t="s">
        <v>31</v>
      </c>
      <c r="C18" s="7"/>
      <c r="D18" s="7"/>
      <c r="E18" s="7"/>
      <c r="F18" s="7"/>
      <c r="G18" s="22"/>
      <c r="H18" s="22"/>
      <c r="I18" s="22"/>
      <c r="J18" s="22"/>
      <c r="K18" s="22"/>
      <c r="L18" s="7"/>
      <c r="M18" s="7"/>
      <c r="N18" s="7"/>
      <c r="O18" s="7"/>
      <c r="P18" s="7" t="s">
        <v>72</v>
      </c>
      <c r="Q18" s="7"/>
      <c r="R18" s="7"/>
      <c r="S18" s="7"/>
      <c r="AC18" t="e">
        <f>CONCATENATE(#REF!,B18)</f>
        <v>#REF!</v>
      </c>
      <c r="AD18" t="str">
        <f t="shared" si="0"/>
        <v/>
      </c>
    </row>
    <row r="19" spans="1:30" x14ac:dyDescent="0.35">
      <c r="A19" s="3">
        <v>9</v>
      </c>
      <c r="B19" s="7" t="s">
        <v>32</v>
      </c>
      <c r="C19" s="7"/>
      <c r="D19" s="7"/>
      <c r="E19" s="7"/>
      <c r="F19" s="7"/>
      <c r="G19" s="22"/>
      <c r="H19" s="22"/>
      <c r="I19" s="22"/>
      <c r="J19" s="22"/>
      <c r="K19" s="22"/>
      <c r="L19" s="7"/>
      <c r="M19" s="7"/>
      <c r="N19" s="7"/>
      <c r="O19" s="7"/>
      <c r="P19" s="7" t="s">
        <v>72</v>
      </c>
      <c r="Q19" s="7"/>
      <c r="R19" s="7"/>
      <c r="S19" s="7"/>
      <c r="AC19" t="e">
        <f>CONCATENATE(#REF!,B19)</f>
        <v>#REF!</v>
      </c>
      <c r="AD19" t="str">
        <f t="shared" si="0"/>
        <v/>
      </c>
    </row>
    <row r="20" spans="1:30" x14ac:dyDescent="0.35">
      <c r="A20" s="3">
        <v>10</v>
      </c>
      <c r="B20" s="7" t="s">
        <v>33</v>
      </c>
      <c r="C20" s="7"/>
      <c r="D20" s="7"/>
      <c r="E20" s="7"/>
      <c r="F20" s="7"/>
      <c r="G20" s="22"/>
      <c r="H20" s="22"/>
      <c r="I20" s="22"/>
      <c r="J20" s="22"/>
      <c r="K20" s="22"/>
      <c r="L20" s="7"/>
      <c r="M20" s="7"/>
      <c r="N20" s="7"/>
      <c r="O20" s="7"/>
      <c r="P20" s="7" t="s">
        <v>72</v>
      </c>
      <c r="Q20" s="7"/>
      <c r="R20" s="7"/>
      <c r="S20" s="7"/>
      <c r="AC20" t="e">
        <f>CONCATENATE(#REF!,B20)</f>
        <v>#REF!</v>
      </c>
      <c r="AD20" t="str">
        <f t="shared" si="0"/>
        <v/>
      </c>
    </row>
    <row r="21" spans="1:30" x14ac:dyDescent="0.35">
      <c r="A21" s="3">
        <v>11</v>
      </c>
      <c r="B21" s="62" t="s">
        <v>96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AC21" t="e">
        <f>CONCATENATE(#REF!,B22)</f>
        <v>#REF!</v>
      </c>
      <c r="AD21" t="str">
        <f t="shared" ref="AD21:AD37" si="1">IF(L22="","",L22/M22)</f>
        <v/>
      </c>
    </row>
    <row r="22" spans="1:30" x14ac:dyDescent="0.35">
      <c r="A22" s="3">
        <v>12</v>
      </c>
      <c r="B22" s="7" t="s">
        <v>34</v>
      </c>
      <c r="C22" s="7"/>
      <c r="D22" s="7"/>
      <c r="E22" s="7"/>
      <c r="F22" s="7"/>
      <c r="G22" s="22"/>
      <c r="H22" s="22"/>
      <c r="I22" s="22"/>
      <c r="J22" s="22"/>
      <c r="K22" s="22"/>
      <c r="L22" s="7"/>
      <c r="M22" s="7"/>
      <c r="N22" s="7"/>
      <c r="O22" s="7"/>
      <c r="P22" s="7" t="s">
        <v>73</v>
      </c>
      <c r="Q22" s="7"/>
      <c r="R22" s="7"/>
      <c r="S22" s="7"/>
      <c r="AC22" t="e">
        <f>CONCATENATE(#REF!,B23)</f>
        <v>#REF!</v>
      </c>
      <c r="AD22">
        <f t="shared" si="1"/>
        <v>290</v>
      </c>
    </row>
    <row r="23" spans="1:30" x14ac:dyDescent="0.35">
      <c r="A23" s="3">
        <v>13</v>
      </c>
      <c r="B23" s="7" t="s">
        <v>35</v>
      </c>
      <c r="C23" s="7">
        <v>375</v>
      </c>
      <c r="D23" s="7">
        <v>0</v>
      </c>
      <c r="E23" s="7">
        <v>0</v>
      </c>
      <c r="F23" s="7">
        <v>0</v>
      </c>
      <c r="G23" s="22">
        <f>C23+E23-F23</f>
        <v>375</v>
      </c>
      <c r="H23" s="22">
        <f>70-7</f>
        <v>63</v>
      </c>
      <c r="I23" s="22">
        <f>290+7-5</f>
        <v>292</v>
      </c>
      <c r="J23" s="22">
        <f>15+5</f>
        <v>20</v>
      </c>
      <c r="K23" s="22">
        <f>SUM(H23:J23)</f>
        <v>375</v>
      </c>
      <c r="L23" s="29">
        <v>220110</v>
      </c>
      <c r="M23" s="7">
        <v>759</v>
      </c>
      <c r="N23" s="21">
        <f>O23*I23</f>
        <v>197100</v>
      </c>
      <c r="O23" s="21">
        <v>675</v>
      </c>
      <c r="P23" s="7" t="s">
        <v>74</v>
      </c>
      <c r="Q23" s="21">
        <v>1850</v>
      </c>
      <c r="R23" s="7"/>
      <c r="S23" s="7"/>
      <c r="V23">
        <v>69890</v>
      </c>
      <c r="W23">
        <v>241</v>
      </c>
      <c r="AC23" t="e">
        <f>CONCATENATE(#REF!,B24)</f>
        <v>#REF!</v>
      </c>
      <c r="AD23">
        <f t="shared" si="1"/>
        <v>9.0000534526600333</v>
      </c>
    </row>
    <row r="24" spans="1:30" x14ac:dyDescent="0.35">
      <c r="A24" s="3">
        <v>14</v>
      </c>
      <c r="B24" s="7" t="s">
        <v>36</v>
      </c>
      <c r="C24" s="7">
        <v>14</v>
      </c>
      <c r="D24" s="7">
        <v>0</v>
      </c>
      <c r="E24" s="7">
        <v>0</v>
      </c>
      <c r="F24" s="7">
        <v>0</v>
      </c>
      <c r="G24" s="22">
        <f>C24+E24-F24</f>
        <v>14</v>
      </c>
      <c r="H24" s="22">
        <v>0</v>
      </c>
      <c r="I24" s="22">
        <v>9</v>
      </c>
      <c r="J24" s="22">
        <v>5</v>
      </c>
      <c r="K24" s="22">
        <f>SUM(H24:J24)</f>
        <v>14</v>
      </c>
      <c r="L24" s="16">
        <v>58931</v>
      </c>
      <c r="M24" s="22">
        <v>6547.85</v>
      </c>
      <c r="N24" s="21">
        <f>O24*I24</f>
        <v>55800</v>
      </c>
      <c r="O24" s="21">
        <v>6200</v>
      </c>
      <c r="P24" s="7" t="s">
        <v>75</v>
      </c>
      <c r="Q24" s="7">
        <f>98+150</f>
        <v>248</v>
      </c>
      <c r="R24" s="7"/>
      <c r="S24" s="7"/>
      <c r="V24">
        <v>19710</v>
      </c>
      <c r="W24">
        <v>2190</v>
      </c>
      <c r="AC24" t="e">
        <f>CONCATENATE(#REF!,B25)</f>
        <v>#REF!</v>
      </c>
      <c r="AD24" t="str">
        <f t="shared" si="1"/>
        <v/>
      </c>
    </row>
    <row r="25" spans="1:30" x14ac:dyDescent="0.35">
      <c r="A25" s="3">
        <v>15</v>
      </c>
      <c r="B25" s="7" t="s">
        <v>37</v>
      </c>
      <c r="C25" s="7"/>
      <c r="D25" s="7"/>
      <c r="E25" s="7"/>
      <c r="F25" s="7"/>
      <c r="G25" s="22"/>
      <c r="H25" s="22"/>
      <c r="I25" s="22"/>
      <c r="J25" s="22"/>
      <c r="K25" s="22"/>
      <c r="L25" s="7"/>
      <c r="M25" s="7"/>
      <c r="N25" s="7"/>
      <c r="O25" s="21"/>
      <c r="P25" s="7" t="s">
        <v>74</v>
      </c>
      <c r="Q25" s="7"/>
      <c r="R25" s="7"/>
      <c r="S25" s="7"/>
      <c r="AC25" t="e">
        <f>CONCATENATE(#REF!,B26)</f>
        <v>#REF!</v>
      </c>
      <c r="AD25" t="str">
        <f t="shared" si="1"/>
        <v/>
      </c>
    </row>
    <row r="26" spans="1:30" x14ac:dyDescent="0.35">
      <c r="A26" s="3">
        <v>16</v>
      </c>
      <c r="B26" s="7" t="s">
        <v>38</v>
      </c>
      <c r="C26" s="7"/>
      <c r="D26" s="7"/>
      <c r="E26" s="7"/>
      <c r="F26" s="7"/>
      <c r="G26" s="22"/>
      <c r="H26" s="22"/>
      <c r="I26" s="22"/>
      <c r="J26" s="22"/>
      <c r="K26" s="22"/>
      <c r="L26" s="7"/>
      <c r="M26" s="7"/>
      <c r="N26" s="7"/>
      <c r="O26" s="7"/>
      <c r="P26" s="7" t="s">
        <v>76</v>
      </c>
      <c r="Q26" s="7"/>
      <c r="R26" s="7"/>
      <c r="S26" s="7"/>
      <c r="AC26" t="e">
        <f>CONCATENATE(#REF!,B27)</f>
        <v>#REF!</v>
      </c>
      <c r="AD26" t="str">
        <f t="shared" si="1"/>
        <v/>
      </c>
    </row>
    <row r="27" spans="1:30" x14ac:dyDescent="0.35">
      <c r="A27" s="3">
        <v>17</v>
      </c>
      <c r="B27" s="7" t="s">
        <v>39</v>
      </c>
      <c r="C27" s="7"/>
      <c r="D27" s="7"/>
      <c r="E27" s="7"/>
      <c r="F27" s="7"/>
      <c r="G27" s="22"/>
      <c r="H27" s="22"/>
      <c r="I27" s="22"/>
      <c r="J27" s="22"/>
      <c r="K27" s="22"/>
      <c r="L27" s="7"/>
      <c r="M27" s="7"/>
      <c r="N27" s="7"/>
      <c r="O27" s="7"/>
      <c r="P27" s="7" t="s">
        <v>77</v>
      </c>
      <c r="Q27" s="7"/>
      <c r="R27" s="7"/>
      <c r="S27" s="7"/>
      <c r="AC27" t="e">
        <f>CONCATENATE(#REF!,B28)</f>
        <v>#REF!</v>
      </c>
      <c r="AD27" t="str">
        <f t="shared" si="1"/>
        <v/>
      </c>
    </row>
    <row r="28" spans="1:30" x14ac:dyDescent="0.35">
      <c r="A28" s="3">
        <v>18</v>
      </c>
      <c r="B28" s="7" t="s">
        <v>40</v>
      </c>
      <c r="C28" s="7"/>
      <c r="D28" s="7"/>
      <c r="E28" s="7"/>
      <c r="F28" s="7"/>
      <c r="G28" s="22"/>
      <c r="H28" s="22"/>
      <c r="I28" s="22"/>
      <c r="J28" s="22"/>
      <c r="K28" s="22"/>
      <c r="L28" s="7"/>
      <c r="M28" s="7"/>
      <c r="N28" s="7"/>
      <c r="O28" s="7"/>
      <c r="P28" s="7" t="s">
        <v>78</v>
      </c>
      <c r="Q28" s="7"/>
      <c r="R28" s="7"/>
      <c r="S28" s="7"/>
      <c r="AC28" t="e">
        <f>CONCATENATE(#REF!,B29)</f>
        <v>#REF!</v>
      </c>
      <c r="AD28" t="str">
        <f t="shared" si="1"/>
        <v/>
      </c>
    </row>
    <row r="29" spans="1:30" x14ac:dyDescent="0.35">
      <c r="A29" s="3">
        <v>19</v>
      </c>
      <c r="B29" s="7" t="s">
        <v>41</v>
      </c>
      <c r="C29" s="7"/>
      <c r="D29" s="7"/>
      <c r="E29" s="7"/>
      <c r="F29" s="7"/>
      <c r="G29" s="22"/>
      <c r="H29" s="22"/>
      <c r="I29" s="22"/>
      <c r="J29" s="22"/>
      <c r="K29" s="22"/>
      <c r="L29" s="7"/>
      <c r="M29" s="7"/>
      <c r="N29" s="7"/>
      <c r="O29" s="7"/>
      <c r="P29" s="7" t="s">
        <v>79</v>
      </c>
      <c r="Q29" s="7"/>
      <c r="R29" s="7"/>
      <c r="S29" s="7"/>
      <c r="AC29" t="e">
        <f>CONCATENATE(#REF!,B30)</f>
        <v>#REF!</v>
      </c>
      <c r="AD29" t="str">
        <f t="shared" si="1"/>
        <v/>
      </c>
    </row>
    <row r="30" spans="1:30" x14ac:dyDescent="0.35">
      <c r="A30" s="3">
        <v>20</v>
      </c>
      <c r="B30" s="7" t="s">
        <v>42</v>
      </c>
      <c r="C30" s="7"/>
      <c r="D30" s="7"/>
      <c r="E30" s="7"/>
      <c r="F30" s="7"/>
      <c r="G30" s="22"/>
      <c r="H30" s="22"/>
      <c r="I30" s="22"/>
      <c r="J30" s="22"/>
      <c r="K30" s="22"/>
      <c r="L30" s="7"/>
      <c r="M30" s="7"/>
      <c r="N30" s="7"/>
      <c r="O30" s="7"/>
      <c r="P30" s="7" t="s">
        <v>80</v>
      </c>
      <c r="Q30" s="7"/>
      <c r="R30" s="7"/>
      <c r="S30" s="7"/>
      <c r="AC30" t="e">
        <f>CONCATENATE(#REF!,B31)</f>
        <v>#REF!</v>
      </c>
      <c r="AD30" t="str">
        <f t="shared" si="1"/>
        <v/>
      </c>
    </row>
    <row r="31" spans="1:30" x14ac:dyDescent="0.35">
      <c r="A31" s="3">
        <v>21</v>
      </c>
      <c r="B31" s="7" t="s">
        <v>43</v>
      </c>
      <c r="C31" s="7"/>
      <c r="D31" s="7"/>
      <c r="E31" s="7"/>
      <c r="F31" s="7"/>
      <c r="G31" s="22"/>
      <c r="H31" s="22"/>
      <c r="I31" s="22"/>
      <c r="J31" s="22"/>
      <c r="K31" s="22"/>
      <c r="L31" s="7"/>
      <c r="M31" s="7"/>
      <c r="N31" s="7"/>
      <c r="O31" s="7"/>
      <c r="P31" s="7" t="s">
        <v>69</v>
      </c>
      <c r="Q31" s="7"/>
      <c r="R31" s="7"/>
      <c r="S31" s="7"/>
      <c r="AC31" t="e">
        <f>CONCATENATE(#REF!,B32)</f>
        <v>#REF!</v>
      </c>
      <c r="AD31" t="str">
        <f t="shared" si="1"/>
        <v/>
      </c>
    </row>
    <row r="32" spans="1:30" x14ac:dyDescent="0.35">
      <c r="A32" s="3">
        <v>22</v>
      </c>
      <c r="B32" s="7" t="s">
        <v>44</v>
      </c>
      <c r="C32" s="7"/>
      <c r="D32" s="7"/>
      <c r="E32" s="7"/>
      <c r="F32" s="7"/>
      <c r="G32" s="22"/>
      <c r="H32" s="22"/>
      <c r="I32" s="22"/>
      <c r="J32" s="22"/>
      <c r="K32" s="22"/>
      <c r="L32" s="7"/>
      <c r="M32" s="7"/>
      <c r="N32" s="7"/>
      <c r="O32" s="7"/>
      <c r="P32" s="7" t="s">
        <v>81</v>
      </c>
      <c r="Q32" s="7"/>
      <c r="R32" s="7"/>
      <c r="S32" s="7"/>
      <c r="AC32" t="e">
        <f>CONCATENATE(#REF!,B33)</f>
        <v>#REF!</v>
      </c>
      <c r="AD32" t="str">
        <f t="shared" si="1"/>
        <v/>
      </c>
    </row>
    <row r="33" spans="1:30" x14ac:dyDescent="0.35">
      <c r="A33" s="3">
        <v>23</v>
      </c>
      <c r="B33" s="7" t="s">
        <v>45</v>
      </c>
      <c r="C33" s="7"/>
      <c r="D33" s="7"/>
      <c r="E33" s="7"/>
      <c r="F33" s="7"/>
      <c r="G33" s="22"/>
      <c r="H33" s="22"/>
      <c r="I33" s="22"/>
      <c r="J33" s="22"/>
      <c r="K33" s="22"/>
      <c r="L33" s="7"/>
      <c r="M33" s="7"/>
      <c r="N33" s="7"/>
      <c r="O33" s="7"/>
      <c r="P33" s="7" t="s">
        <v>81</v>
      </c>
      <c r="Q33" s="7"/>
      <c r="R33" s="7"/>
      <c r="S33" s="7"/>
      <c r="AC33" t="e">
        <f>CONCATENATE(#REF!,B34)</f>
        <v>#REF!</v>
      </c>
      <c r="AD33" t="str">
        <f t="shared" si="1"/>
        <v/>
      </c>
    </row>
    <row r="34" spans="1:30" x14ac:dyDescent="0.35">
      <c r="A34" s="3">
        <v>24</v>
      </c>
      <c r="B34" s="7" t="s">
        <v>46</v>
      </c>
      <c r="C34" s="7"/>
      <c r="D34" s="7"/>
      <c r="E34" s="7"/>
      <c r="F34" s="7"/>
      <c r="G34" s="22"/>
      <c r="H34" s="22"/>
      <c r="I34" s="22"/>
      <c r="J34" s="22"/>
      <c r="K34" s="22"/>
      <c r="L34" s="7"/>
      <c r="M34" s="7"/>
      <c r="N34" s="7"/>
      <c r="O34" s="7"/>
      <c r="P34" s="7" t="s">
        <v>72</v>
      </c>
      <c r="Q34" s="7"/>
      <c r="R34" s="7"/>
      <c r="S34" s="7"/>
      <c r="AC34" t="e">
        <f>CONCATENATE(#REF!,B35)</f>
        <v>#REF!</v>
      </c>
      <c r="AD34" t="str">
        <f t="shared" si="1"/>
        <v/>
      </c>
    </row>
    <row r="35" spans="1:30" x14ac:dyDescent="0.35">
      <c r="A35" s="3">
        <v>25</v>
      </c>
      <c r="B35" s="7" t="s">
        <v>47</v>
      </c>
      <c r="C35" s="7"/>
      <c r="D35" s="7"/>
      <c r="E35" s="7"/>
      <c r="F35" s="7"/>
      <c r="G35" s="22"/>
      <c r="H35" s="22"/>
      <c r="I35" s="22"/>
      <c r="J35" s="22"/>
      <c r="K35" s="22"/>
      <c r="L35" s="7"/>
      <c r="M35" s="7"/>
      <c r="N35" s="7"/>
      <c r="O35" s="7"/>
      <c r="P35" s="7" t="s">
        <v>75</v>
      </c>
      <c r="Q35" s="7"/>
      <c r="R35" s="7"/>
      <c r="S35" s="7"/>
      <c r="AC35" t="e">
        <f>CONCATENATE(#REF!,B36)</f>
        <v>#REF!</v>
      </c>
      <c r="AD35" t="str">
        <f t="shared" si="1"/>
        <v/>
      </c>
    </row>
    <row r="36" spans="1:30" x14ac:dyDescent="0.35">
      <c r="A36" s="3">
        <v>26</v>
      </c>
      <c r="B36" s="7" t="s">
        <v>48</v>
      </c>
      <c r="C36" s="7"/>
      <c r="D36" s="7"/>
      <c r="E36" s="7"/>
      <c r="F36" s="7"/>
      <c r="G36" s="22"/>
      <c r="H36" s="22"/>
      <c r="I36" s="22"/>
      <c r="J36" s="22"/>
      <c r="K36" s="22"/>
      <c r="L36" s="7"/>
      <c r="M36" s="7"/>
      <c r="N36" s="7"/>
      <c r="O36" s="7"/>
      <c r="P36" s="7" t="s">
        <v>72</v>
      </c>
      <c r="Q36" s="7"/>
      <c r="R36" s="7"/>
      <c r="S36" s="7"/>
      <c r="AC36" t="e">
        <f>CONCATENATE(#REF!,B37)</f>
        <v>#REF!</v>
      </c>
      <c r="AD36" t="str">
        <f t="shared" si="1"/>
        <v/>
      </c>
    </row>
    <row r="37" spans="1:30" x14ac:dyDescent="0.35">
      <c r="A37" s="3">
        <v>27</v>
      </c>
      <c r="B37" s="7" t="s">
        <v>49</v>
      </c>
      <c r="C37" s="7"/>
      <c r="D37" s="7"/>
      <c r="E37" s="7"/>
      <c r="F37" s="7"/>
      <c r="G37" s="22"/>
      <c r="H37" s="22"/>
      <c r="I37" s="22"/>
      <c r="J37" s="22"/>
      <c r="K37" s="22"/>
      <c r="L37" s="7"/>
      <c r="M37" s="7"/>
      <c r="N37" s="7"/>
      <c r="O37" s="7"/>
      <c r="P37" s="7" t="s">
        <v>84</v>
      </c>
      <c r="Q37" s="7"/>
      <c r="R37" s="7"/>
      <c r="S37" s="7"/>
      <c r="AC37" t="e">
        <f>CONCATENATE(#REF!,B38)</f>
        <v>#REF!</v>
      </c>
      <c r="AD37" t="str">
        <f t="shared" si="1"/>
        <v/>
      </c>
    </row>
    <row r="38" spans="1:30" x14ac:dyDescent="0.35">
      <c r="A38" s="3">
        <v>28</v>
      </c>
      <c r="B38" s="7" t="s">
        <v>50</v>
      </c>
      <c r="C38" s="7"/>
      <c r="D38" s="7"/>
      <c r="E38" s="7"/>
      <c r="F38" s="7"/>
      <c r="G38" s="22"/>
      <c r="H38" s="22"/>
      <c r="I38" s="22"/>
      <c r="J38" s="22"/>
      <c r="K38" s="22"/>
      <c r="L38" s="7"/>
      <c r="M38" s="7"/>
      <c r="N38" s="7"/>
      <c r="O38" s="7"/>
      <c r="P38" s="7" t="s">
        <v>77</v>
      </c>
      <c r="Q38" s="7"/>
      <c r="R38" s="7"/>
      <c r="S38" s="7"/>
      <c r="AC38" t="e">
        <f>CONCATENATE(#REF!,#REF!)</f>
        <v>#REF!</v>
      </c>
    </row>
    <row r="39" spans="1:30" x14ac:dyDescent="0.35">
      <c r="A39" s="3">
        <v>29</v>
      </c>
      <c r="B39" s="7" t="s">
        <v>51</v>
      </c>
      <c r="C39" s="7"/>
      <c r="D39" s="7"/>
      <c r="E39" s="7"/>
      <c r="F39" s="7"/>
      <c r="G39" s="22"/>
      <c r="H39" s="22"/>
      <c r="I39" s="22"/>
      <c r="J39" s="22"/>
      <c r="K39" s="22"/>
      <c r="L39" s="7"/>
      <c r="M39" s="7"/>
      <c r="N39" s="7"/>
      <c r="O39" s="7"/>
      <c r="P39" s="7" t="s">
        <v>82</v>
      </c>
      <c r="Q39" s="7"/>
      <c r="R39" s="7"/>
      <c r="S39" s="7"/>
      <c r="AC39" t="e">
        <f>CONCATENATE(#REF!,B40)</f>
        <v>#REF!</v>
      </c>
      <c r="AD39" t="str">
        <f>IF(L40="","",L40/M40)</f>
        <v/>
      </c>
    </row>
    <row r="40" spans="1:30" x14ac:dyDescent="0.35">
      <c r="A40" s="3">
        <v>30</v>
      </c>
      <c r="B40" s="7" t="s">
        <v>52</v>
      </c>
      <c r="C40" s="7"/>
      <c r="D40" s="7"/>
      <c r="E40" s="7"/>
      <c r="F40" s="7"/>
      <c r="G40" s="22"/>
      <c r="H40" s="22"/>
      <c r="I40" s="22"/>
      <c r="J40" s="22"/>
      <c r="K40" s="22"/>
      <c r="L40" s="7"/>
      <c r="M40" s="7"/>
      <c r="N40" s="7"/>
      <c r="O40" s="7"/>
      <c r="P40" s="7" t="s">
        <v>83</v>
      </c>
      <c r="Q40" s="7"/>
      <c r="R40" s="7"/>
      <c r="S40" s="7"/>
    </row>
    <row r="42" spans="1:30" x14ac:dyDescent="0.35">
      <c r="P42" s="263" t="s">
        <v>110</v>
      </c>
      <c r="Q42" s="263"/>
    </row>
    <row r="43" spans="1:30" x14ac:dyDescent="0.35">
      <c r="P43" s="68"/>
      <c r="Q43" s="68"/>
    </row>
    <row r="44" spans="1:30" x14ac:dyDescent="0.35">
      <c r="P44" s="68"/>
      <c r="Q44" s="68"/>
    </row>
    <row r="45" spans="1:30" x14ac:dyDescent="0.35">
      <c r="P45" s="68"/>
      <c r="Q45" s="68"/>
    </row>
    <row r="46" spans="1:30" x14ac:dyDescent="0.35">
      <c r="P46" s="310" t="s">
        <v>135</v>
      </c>
      <c r="Q46" s="310"/>
    </row>
    <row r="47" spans="1:30" x14ac:dyDescent="0.35">
      <c r="P47" s="68"/>
      <c r="Q47" s="68"/>
    </row>
  </sheetData>
  <mergeCells count="13">
    <mergeCell ref="P42:Q42"/>
    <mergeCell ref="P46:Q46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45" right="0.5" top="0.25" bottom="0.25" header="0.3" footer="0.3"/>
  <pageSetup paperSize="5" scale="75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00000"/>
  </sheetPr>
  <dimension ref="A1:AD46"/>
  <sheetViews>
    <sheetView topLeftCell="A18" zoomScaleNormal="100" workbookViewId="0">
      <selection activeCell="V11" sqref="V11"/>
    </sheetView>
  </sheetViews>
  <sheetFormatPr defaultRowHeight="14.5" x14ac:dyDescent="0.35"/>
  <cols>
    <col min="1" max="1" width="4.26953125" customWidth="1"/>
    <col min="2" max="2" width="16" bestFit="1" customWidth="1"/>
    <col min="3" max="3" width="16.54296875" customWidth="1"/>
    <col min="4" max="4" width="14.81640625" bestFit="1" customWidth="1"/>
    <col min="5" max="5" width="13.7265625" bestFit="1" customWidth="1"/>
    <col min="6" max="6" width="12.7265625" bestFit="1" customWidth="1"/>
    <col min="7" max="9" width="9.26953125" style="32" bestFit="1" customWidth="1"/>
    <col min="10" max="10" width="11.7265625" style="32" customWidth="1"/>
    <col min="11" max="11" width="9.26953125" style="32" bestFit="1" customWidth="1"/>
    <col min="12" max="12" width="11.453125" bestFit="1" customWidth="1"/>
    <col min="13" max="13" width="9.26953125" bestFit="1" customWidth="1"/>
    <col min="14" max="14" width="11" bestFit="1" customWidth="1"/>
    <col min="15" max="15" width="14.54296875" customWidth="1"/>
    <col min="16" max="16" width="15.26953125" bestFit="1" customWidth="1"/>
    <col min="17" max="17" width="12.453125" customWidth="1"/>
    <col min="18" max="18" width="8.453125" customWidth="1"/>
    <col min="19" max="19" width="6.26953125" customWidth="1"/>
    <col min="29" max="30" width="9.1796875" hidden="1" customWidth="1"/>
  </cols>
  <sheetData>
    <row r="1" spans="1:30" x14ac:dyDescent="0.35">
      <c r="A1" s="1" t="s">
        <v>57</v>
      </c>
      <c r="G1" s="30"/>
      <c r="H1" s="30"/>
      <c r="I1" s="30"/>
      <c r="J1" s="30"/>
      <c r="K1" s="30"/>
    </row>
    <row r="2" spans="1:30" x14ac:dyDescent="0.35">
      <c r="A2" s="2"/>
      <c r="G2" s="30"/>
      <c r="H2" s="30"/>
      <c r="I2" s="30"/>
      <c r="J2" s="30"/>
      <c r="K2" s="30"/>
    </row>
    <row r="3" spans="1:30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30" x14ac:dyDescent="0.35">
      <c r="A4" s="1"/>
      <c r="G4" s="30"/>
      <c r="H4" s="30"/>
      <c r="I4" s="30"/>
      <c r="J4" s="30"/>
      <c r="K4" s="30"/>
      <c r="R4" s="5"/>
      <c r="S4" s="6"/>
    </row>
    <row r="5" spans="1:30" x14ac:dyDescent="0.35">
      <c r="A5" s="1" t="s">
        <v>63</v>
      </c>
      <c r="C5" t="s">
        <v>91</v>
      </c>
      <c r="G5" s="30"/>
      <c r="H5" s="30"/>
      <c r="I5" s="30"/>
      <c r="J5" s="30"/>
      <c r="K5" s="30"/>
      <c r="Q5" t="s">
        <v>60</v>
      </c>
      <c r="R5" s="1">
        <v>2019</v>
      </c>
    </row>
    <row r="6" spans="1:30" x14ac:dyDescent="0.35">
      <c r="A6" s="1" t="s">
        <v>62</v>
      </c>
      <c r="C6" t="s">
        <v>87</v>
      </c>
      <c r="G6" s="30"/>
      <c r="H6" s="30"/>
      <c r="I6" s="30"/>
      <c r="J6" s="30"/>
      <c r="K6" s="30"/>
      <c r="Q6" t="s">
        <v>93</v>
      </c>
      <c r="R6" s="1" t="s">
        <v>202</v>
      </c>
    </row>
    <row r="7" spans="1:30" x14ac:dyDescent="0.35">
      <c r="A7" s="1" t="s">
        <v>64</v>
      </c>
      <c r="C7" t="s">
        <v>53</v>
      </c>
      <c r="G7" s="30"/>
      <c r="H7" s="30"/>
      <c r="I7" s="30"/>
      <c r="J7" s="30"/>
      <c r="K7" s="30"/>
    </row>
    <row r="8" spans="1:30" s="11" customFormat="1" x14ac:dyDescent="0.35">
      <c r="A8" s="290" t="s">
        <v>3</v>
      </c>
      <c r="B8" s="290" t="s">
        <v>4</v>
      </c>
      <c r="C8" s="290" t="s">
        <v>23</v>
      </c>
      <c r="D8" s="290" t="s">
        <v>6</v>
      </c>
      <c r="E8" s="290"/>
      <c r="F8" s="290"/>
      <c r="G8" s="290"/>
      <c r="H8" s="290"/>
      <c r="I8" s="290"/>
      <c r="J8" s="290"/>
      <c r="K8" s="290"/>
      <c r="L8" s="290" t="s">
        <v>22</v>
      </c>
      <c r="M8" s="290"/>
      <c r="N8" s="290"/>
      <c r="O8" s="290"/>
      <c r="P8" s="8"/>
      <c r="Q8" s="9"/>
      <c r="R8" s="10"/>
      <c r="S8" s="8"/>
      <c r="AC8" s="11" t="s">
        <v>54</v>
      </c>
      <c r="AD8" s="11" t="s">
        <v>54</v>
      </c>
    </row>
    <row r="9" spans="1:30" s="11" customFormat="1" ht="43.5" x14ac:dyDescent="0.35">
      <c r="A9" s="290"/>
      <c r="B9" s="290"/>
      <c r="C9" s="290"/>
      <c r="D9" s="291" t="s">
        <v>7</v>
      </c>
      <c r="E9" s="291"/>
      <c r="F9" s="291"/>
      <c r="G9" s="291"/>
      <c r="H9" s="297" t="s">
        <v>12</v>
      </c>
      <c r="I9" s="297"/>
      <c r="J9" s="297"/>
      <c r="K9" s="297"/>
      <c r="L9" s="291" t="s">
        <v>13</v>
      </c>
      <c r="M9" s="291"/>
      <c r="N9" s="291" t="s">
        <v>15</v>
      </c>
      <c r="O9" s="291"/>
      <c r="P9" s="12"/>
      <c r="Q9" s="288" t="s">
        <v>17</v>
      </c>
      <c r="R9" s="289"/>
      <c r="S9" s="12" t="s">
        <v>104</v>
      </c>
      <c r="W9" s="11" t="s">
        <v>15</v>
      </c>
      <c r="AC9" s="11" t="s">
        <v>56</v>
      </c>
      <c r="AD9" s="11" t="s">
        <v>56</v>
      </c>
    </row>
    <row r="10" spans="1:30" s="11" customFormat="1" ht="43.5" x14ac:dyDescent="0.35">
      <c r="A10" s="290"/>
      <c r="B10" s="290"/>
      <c r="C10" s="290"/>
      <c r="D10" s="13" t="s">
        <v>8</v>
      </c>
      <c r="E10" s="13" t="s">
        <v>9</v>
      </c>
      <c r="F10" s="13" t="s">
        <v>10</v>
      </c>
      <c r="G10" s="35" t="s">
        <v>11</v>
      </c>
      <c r="H10" s="35" t="s">
        <v>0</v>
      </c>
      <c r="I10" s="35" t="s">
        <v>1</v>
      </c>
      <c r="J10" s="35" t="s">
        <v>2</v>
      </c>
      <c r="K10" s="35" t="s">
        <v>11</v>
      </c>
      <c r="L10" s="13" t="s">
        <v>14</v>
      </c>
      <c r="M10" s="13" t="s">
        <v>21</v>
      </c>
      <c r="N10" s="13" t="s">
        <v>14</v>
      </c>
      <c r="O10" s="13" t="s">
        <v>21</v>
      </c>
      <c r="P10" s="14" t="s">
        <v>16</v>
      </c>
      <c r="Q10" s="13" t="s">
        <v>19</v>
      </c>
      <c r="R10" s="13" t="s">
        <v>20</v>
      </c>
      <c r="S10" s="14"/>
      <c r="W10" s="11" t="s">
        <v>14</v>
      </c>
      <c r="X10" s="11" t="s">
        <v>21</v>
      </c>
      <c r="AC10" s="11" t="s">
        <v>55</v>
      </c>
      <c r="AD10" s="11" t="s">
        <v>55</v>
      </c>
    </row>
    <row r="11" spans="1:30" x14ac:dyDescent="0.35">
      <c r="A11" s="3">
        <v>1</v>
      </c>
      <c r="B11" s="4" t="s">
        <v>5</v>
      </c>
      <c r="C11" s="4"/>
      <c r="D11" s="4"/>
      <c r="E11" s="4"/>
      <c r="F11" s="4"/>
      <c r="G11" s="25"/>
      <c r="H11" s="25"/>
      <c r="I11" s="25"/>
      <c r="J11" s="25"/>
      <c r="K11" s="25"/>
      <c r="L11" s="4"/>
      <c r="M11" s="4"/>
      <c r="N11" s="4"/>
      <c r="O11" s="4"/>
      <c r="P11" s="7" t="s">
        <v>67</v>
      </c>
      <c r="Q11" s="7"/>
      <c r="R11" s="7"/>
      <c r="S11" s="7"/>
      <c r="AC11" t="e">
        <f>CONCATENATE(#REF!,B11)</f>
        <v>#REF!</v>
      </c>
      <c r="AD11" t="str">
        <f>IF(L11="","",L11/M11)</f>
        <v/>
      </c>
    </row>
    <row r="12" spans="1:30" x14ac:dyDescent="0.35">
      <c r="A12" s="3">
        <v>2</v>
      </c>
      <c r="B12" s="4" t="s">
        <v>25</v>
      </c>
      <c r="C12" s="4"/>
      <c r="D12" s="4"/>
      <c r="E12" s="4"/>
      <c r="F12" s="4"/>
      <c r="G12" s="25"/>
      <c r="H12" s="25"/>
      <c r="I12" s="25"/>
      <c r="J12" s="25"/>
      <c r="K12" s="25"/>
      <c r="L12" s="4"/>
      <c r="M12" s="4"/>
      <c r="N12" s="4"/>
      <c r="O12" s="4"/>
      <c r="P12" s="7" t="s">
        <v>68</v>
      </c>
      <c r="Q12" s="7"/>
      <c r="R12" s="7"/>
      <c r="S12" s="7"/>
      <c r="AC12" t="e">
        <f>CONCATENATE(#REF!,B12)</f>
        <v>#REF!</v>
      </c>
      <c r="AD12" t="str">
        <f t="shared" ref="AD12:AD20" si="0">IF(L12="","",L12/M12)</f>
        <v/>
      </c>
    </row>
    <row r="13" spans="1:30" x14ac:dyDescent="0.35">
      <c r="A13" s="3">
        <v>3</v>
      </c>
      <c r="B13" s="7" t="s">
        <v>26</v>
      </c>
      <c r="C13" s="7"/>
      <c r="D13" s="7"/>
      <c r="E13" s="7"/>
      <c r="F13" s="7"/>
      <c r="G13" s="22"/>
      <c r="H13" s="22"/>
      <c r="I13" s="22"/>
      <c r="J13" s="22"/>
      <c r="K13" s="22"/>
      <c r="L13" s="7"/>
      <c r="M13" s="7"/>
      <c r="N13" s="7"/>
      <c r="O13" s="7"/>
      <c r="P13" s="7" t="s">
        <v>68</v>
      </c>
      <c r="Q13" s="7"/>
      <c r="R13" s="7"/>
      <c r="S13" s="7"/>
      <c r="AC13" t="e">
        <f>CONCATENATE(#REF!,B13)</f>
        <v>#REF!</v>
      </c>
      <c r="AD13" t="str">
        <f t="shared" si="0"/>
        <v/>
      </c>
    </row>
    <row r="14" spans="1:30" x14ac:dyDescent="0.35">
      <c r="A14" s="3">
        <v>4</v>
      </c>
      <c r="B14" s="7" t="s">
        <v>27</v>
      </c>
      <c r="C14" s="7"/>
      <c r="D14" s="7"/>
      <c r="E14" s="7"/>
      <c r="F14" s="7"/>
      <c r="G14" s="22"/>
      <c r="H14" s="22"/>
      <c r="I14" s="22"/>
      <c r="J14" s="22"/>
      <c r="K14" s="22"/>
      <c r="L14" s="7"/>
      <c r="M14" s="7"/>
      <c r="N14" s="7"/>
      <c r="O14" s="7"/>
      <c r="P14" s="7" t="s">
        <v>69</v>
      </c>
      <c r="Q14" s="7"/>
      <c r="R14" s="7"/>
      <c r="S14" s="7"/>
      <c r="AC14" t="e">
        <f>CONCATENATE(#REF!,B14)</f>
        <v>#REF!</v>
      </c>
      <c r="AD14" t="str">
        <f t="shared" si="0"/>
        <v/>
      </c>
    </row>
    <row r="15" spans="1:30" x14ac:dyDescent="0.35">
      <c r="A15" s="3">
        <v>5</v>
      </c>
      <c r="B15" s="7" t="s">
        <v>28</v>
      </c>
      <c r="C15" s="7"/>
      <c r="D15" s="7"/>
      <c r="E15" s="7"/>
      <c r="F15" s="7"/>
      <c r="G15" s="22"/>
      <c r="H15" s="22"/>
      <c r="I15" s="22"/>
      <c r="J15" s="22"/>
      <c r="K15" s="22"/>
      <c r="L15" s="7"/>
      <c r="M15" s="7"/>
      <c r="N15" s="7"/>
      <c r="O15" s="7"/>
      <c r="P15" s="7" t="s">
        <v>70</v>
      </c>
      <c r="Q15" s="7"/>
      <c r="R15" s="7"/>
      <c r="S15" s="7"/>
      <c r="AC15" t="e">
        <f>CONCATENATE(#REF!,B15)</f>
        <v>#REF!</v>
      </c>
      <c r="AD15" t="str">
        <f t="shared" si="0"/>
        <v/>
      </c>
    </row>
    <row r="16" spans="1:30" x14ac:dyDescent="0.35">
      <c r="A16" s="3">
        <v>6</v>
      </c>
      <c r="B16" s="7" t="s">
        <v>29</v>
      </c>
      <c r="C16" s="7"/>
      <c r="D16" s="7"/>
      <c r="E16" s="7"/>
      <c r="F16" s="7"/>
      <c r="G16" s="22"/>
      <c r="H16" s="22"/>
      <c r="I16" s="22"/>
      <c r="J16" s="22"/>
      <c r="K16" s="22"/>
      <c r="L16" s="7"/>
      <c r="M16" s="7"/>
      <c r="N16" s="7"/>
      <c r="O16" s="7"/>
      <c r="P16" s="7" t="s">
        <v>70</v>
      </c>
      <c r="Q16" s="7"/>
      <c r="R16" s="7"/>
      <c r="S16" s="7"/>
      <c r="AC16" t="e">
        <f>CONCATENATE(#REF!,B16)</f>
        <v>#REF!</v>
      </c>
      <c r="AD16" t="str">
        <f t="shared" si="0"/>
        <v/>
      </c>
    </row>
    <row r="17" spans="1:30" x14ac:dyDescent="0.35">
      <c r="A17" s="3">
        <v>7</v>
      </c>
      <c r="B17" s="7" t="s">
        <v>30</v>
      </c>
      <c r="C17" s="7"/>
      <c r="D17" s="7"/>
      <c r="E17" s="7"/>
      <c r="F17" s="7"/>
      <c r="G17" s="22"/>
      <c r="H17" s="22"/>
      <c r="I17" s="22"/>
      <c r="J17" s="22"/>
      <c r="K17" s="22"/>
      <c r="L17" s="7"/>
      <c r="M17" s="7"/>
      <c r="N17" s="7"/>
      <c r="O17" s="7"/>
      <c r="P17" s="7" t="s">
        <v>71</v>
      </c>
      <c r="Q17" s="7"/>
      <c r="R17" s="7"/>
      <c r="S17" s="7"/>
      <c r="AC17" t="e">
        <f>CONCATENATE(#REF!,B17)</f>
        <v>#REF!</v>
      </c>
      <c r="AD17" t="str">
        <f t="shared" si="0"/>
        <v/>
      </c>
    </row>
    <row r="18" spans="1:30" x14ac:dyDescent="0.35">
      <c r="A18" s="3">
        <v>8</v>
      </c>
      <c r="B18" s="7" t="s">
        <v>31</v>
      </c>
      <c r="C18" s="7"/>
      <c r="D18" s="7"/>
      <c r="E18" s="7"/>
      <c r="F18" s="7"/>
      <c r="G18" s="22"/>
      <c r="H18" s="22"/>
      <c r="I18" s="22"/>
      <c r="J18" s="22"/>
      <c r="K18" s="22"/>
      <c r="L18" s="7"/>
      <c r="M18" s="7"/>
      <c r="N18" s="7"/>
      <c r="O18" s="7"/>
      <c r="P18" s="7" t="s">
        <v>72</v>
      </c>
      <c r="Q18" s="7"/>
      <c r="R18" s="7"/>
      <c r="S18" s="7"/>
      <c r="AC18" t="e">
        <f>CONCATENATE(#REF!,B18)</f>
        <v>#REF!</v>
      </c>
      <c r="AD18" t="str">
        <f t="shared" si="0"/>
        <v/>
      </c>
    </row>
    <row r="19" spans="1:30" x14ac:dyDescent="0.35">
      <c r="A19" s="3">
        <v>9</v>
      </c>
      <c r="B19" s="7" t="s">
        <v>32</v>
      </c>
      <c r="C19" s="7"/>
      <c r="D19" s="7"/>
      <c r="E19" s="7"/>
      <c r="F19" s="7"/>
      <c r="G19" s="22"/>
      <c r="H19" s="22"/>
      <c r="I19" s="22"/>
      <c r="J19" s="22"/>
      <c r="K19" s="22"/>
      <c r="L19" s="7"/>
      <c r="M19" s="7"/>
      <c r="N19" s="7"/>
      <c r="O19" s="7"/>
      <c r="P19" s="7" t="s">
        <v>72</v>
      </c>
      <c r="Q19" s="7"/>
      <c r="R19" s="7"/>
      <c r="S19" s="7"/>
      <c r="AC19" t="e">
        <f>CONCATENATE(#REF!,B19)</f>
        <v>#REF!</v>
      </c>
      <c r="AD19" t="str">
        <f t="shared" si="0"/>
        <v/>
      </c>
    </row>
    <row r="20" spans="1:30" x14ac:dyDescent="0.35">
      <c r="A20" s="3">
        <v>10</v>
      </c>
      <c r="B20" s="7" t="s">
        <v>33</v>
      </c>
      <c r="C20" s="7"/>
      <c r="D20" s="7"/>
      <c r="E20" s="7"/>
      <c r="F20" s="7"/>
      <c r="G20" s="22"/>
      <c r="H20" s="22"/>
      <c r="I20" s="22"/>
      <c r="J20" s="22"/>
      <c r="K20" s="22"/>
      <c r="L20" s="7"/>
      <c r="M20" s="7"/>
      <c r="N20" s="7"/>
      <c r="O20" s="7"/>
      <c r="P20" s="7" t="s">
        <v>72</v>
      </c>
      <c r="Q20" s="7"/>
      <c r="R20" s="7"/>
      <c r="S20" s="7"/>
      <c r="AC20" t="e">
        <f>CONCATENATE(#REF!,B20)</f>
        <v>#REF!</v>
      </c>
      <c r="AD20" t="str">
        <f t="shared" si="0"/>
        <v/>
      </c>
    </row>
    <row r="21" spans="1:30" x14ac:dyDescent="0.35">
      <c r="A21" s="3">
        <v>11</v>
      </c>
      <c r="B21" s="62" t="s">
        <v>96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AC21" t="e">
        <f>CONCATENATE(#REF!,B22)</f>
        <v>#REF!</v>
      </c>
      <c r="AD21" t="str">
        <f t="shared" ref="AD21:AD37" si="1">IF(L22="","",L22/M22)</f>
        <v/>
      </c>
    </row>
    <row r="22" spans="1:30" x14ac:dyDescent="0.35">
      <c r="A22" s="3">
        <v>12</v>
      </c>
      <c r="B22" s="7" t="s">
        <v>34</v>
      </c>
      <c r="C22" s="7"/>
      <c r="D22" s="7"/>
      <c r="E22" s="7"/>
      <c r="F22" s="7"/>
      <c r="G22" s="22"/>
      <c r="H22" s="22"/>
      <c r="I22" s="22"/>
      <c r="J22" s="22"/>
      <c r="K22" s="22"/>
      <c r="L22" s="7"/>
      <c r="M22" s="7"/>
      <c r="N22" s="7"/>
      <c r="O22" s="7"/>
      <c r="P22" s="7" t="s">
        <v>73</v>
      </c>
      <c r="Q22" s="7"/>
      <c r="R22" s="7"/>
      <c r="S22" s="7"/>
      <c r="AC22" t="e">
        <f>CONCATENATE(#REF!,B23)</f>
        <v>#REF!</v>
      </c>
      <c r="AD22">
        <f t="shared" si="1"/>
        <v>20</v>
      </c>
    </row>
    <row r="23" spans="1:30" x14ac:dyDescent="0.35">
      <c r="A23" s="3">
        <v>13</v>
      </c>
      <c r="B23" s="7" t="s">
        <v>35</v>
      </c>
      <c r="C23" s="255">
        <v>73.5</v>
      </c>
      <c r="D23" s="255">
        <v>0</v>
      </c>
      <c r="E23" s="255">
        <v>0</v>
      </c>
      <c r="F23" s="255">
        <v>0</v>
      </c>
      <c r="G23" s="255">
        <f>C23+E23-F23</f>
        <v>73.5</v>
      </c>
      <c r="H23" s="255">
        <f>50-2.5</f>
        <v>47.5</v>
      </c>
      <c r="I23" s="255">
        <f>20+2.5</f>
        <v>22.5</v>
      </c>
      <c r="J23" s="255">
        <v>3.5</v>
      </c>
      <c r="K23" s="255">
        <f>SUM(H23:J23)</f>
        <v>73.5</v>
      </c>
      <c r="L23" s="255">
        <v>13700</v>
      </c>
      <c r="M23" s="255">
        <v>685</v>
      </c>
      <c r="N23" s="255">
        <f>O23*I23</f>
        <v>15030</v>
      </c>
      <c r="O23" s="255">
        <v>668</v>
      </c>
      <c r="P23" s="7" t="s">
        <v>74</v>
      </c>
      <c r="Q23" s="21">
        <f>584+1000</f>
        <v>1584</v>
      </c>
      <c r="R23" s="7"/>
      <c r="S23" s="7"/>
      <c r="U23" s="28"/>
      <c r="V23" s="28"/>
      <c r="W23">
        <v>4720</v>
      </c>
      <c r="X23">
        <v>236</v>
      </c>
      <c r="AC23" t="e">
        <f>CONCATENATE(#REF!,B24)</f>
        <v>#REF!</v>
      </c>
      <c r="AD23" t="str">
        <f t="shared" si="1"/>
        <v/>
      </c>
    </row>
    <row r="24" spans="1:30" x14ac:dyDescent="0.35">
      <c r="A24" s="3">
        <v>14</v>
      </c>
      <c r="B24" s="7" t="s">
        <v>36</v>
      </c>
      <c r="C24" s="7"/>
      <c r="D24" s="7"/>
      <c r="E24" s="7"/>
      <c r="F24" s="7"/>
      <c r="G24" s="22"/>
      <c r="H24" s="22"/>
      <c r="I24" s="22"/>
      <c r="J24" s="22"/>
      <c r="K24" s="22"/>
      <c r="L24" s="7"/>
      <c r="M24" s="7"/>
      <c r="N24" s="7"/>
      <c r="O24" s="7"/>
      <c r="P24" s="7" t="s">
        <v>75</v>
      </c>
      <c r="Q24" s="7"/>
      <c r="R24" s="7"/>
      <c r="S24" s="7"/>
      <c r="AC24" t="e">
        <f>CONCATENATE(#REF!,B25)</f>
        <v>#REF!</v>
      </c>
      <c r="AD24" t="str">
        <f t="shared" si="1"/>
        <v/>
      </c>
    </row>
    <row r="25" spans="1:30" x14ac:dyDescent="0.35">
      <c r="A25" s="3">
        <v>15</v>
      </c>
      <c r="B25" s="7" t="s">
        <v>37</v>
      </c>
      <c r="C25" s="7"/>
      <c r="D25" s="7"/>
      <c r="E25" s="7"/>
      <c r="F25" s="7"/>
      <c r="G25" s="22"/>
      <c r="H25" s="22"/>
      <c r="I25" s="22"/>
      <c r="J25" s="22"/>
      <c r="K25" s="22"/>
      <c r="L25" s="7"/>
      <c r="M25" s="7"/>
      <c r="N25" s="7"/>
      <c r="O25" s="7"/>
      <c r="P25" s="7" t="s">
        <v>74</v>
      </c>
      <c r="Q25" s="7"/>
      <c r="R25" s="7"/>
      <c r="S25" s="7"/>
      <c r="AC25" t="e">
        <f>CONCATENATE(#REF!,B26)</f>
        <v>#REF!</v>
      </c>
      <c r="AD25" t="str">
        <f t="shared" si="1"/>
        <v/>
      </c>
    </row>
    <row r="26" spans="1:30" x14ac:dyDescent="0.35">
      <c r="A26" s="3">
        <v>16</v>
      </c>
      <c r="B26" s="7" t="s">
        <v>38</v>
      </c>
      <c r="C26" s="7"/>
      <c r="D26" s="7"/>
      <c r="E26" s="7"/>
      <c r="F26" s="7"/>
      <c r="G26" s="22"/>
      <c r="H26" s="22"/>
      <c r="I26" s="22"/>
      <c r="J26" s="22"/>
      <c r="K26" s="22"/>
      <c r="L26" s="7"/>
      <c r="M26" s="7"/>
      <c r="N26" s="7"/>
      <c r="O26" s="7"/>
      <c r="P26" s="7" t="s">
        <v>76</v>
      </c>
      <c r="Q26" s="7"/>
      <c r="R26" s="7"/>
      <c r="S26" s="7"/>
      <c r="AC26" t="e">
        <f>CONCATENATE(#REF!,B27)</f>
        <v>#REF!</v>
      </c>
      <c r="AD26" t="str">
        <f t="shared" si="1"/>
        <v/>
      </c>
    </row>
    <row r="27" spans="1:30" x14ac:dyDescent="0.35">
      <c r="A27" s="3">
        <v>17</v>
      </c>
      <c r="B27" s="7" t="s">
        <v>39</v>
      </c>
      <c r="C27" s="7"/>
      <c r="D27" s="7"/>
      <c r="E27" s="7"/>
      <c r="F27" s="7"/>
      <c r="G27" s="22"/>
      <c r="H27" s="22"/>
      <c r="I27" s="22"/>
      <c r="J27" s="22"/>
      <c r="K27" s="22"/>
      <c r="L27" s="7"/>
      <c r="M27" s="7"/>
      <c r="N27" s="7"/>
      <c r="O27" s="7"/>
      <c r="P27" s="7" t="s">
        <v>77</v>
      </c>
      <c r="Q27" s="7"/>
      <c r="R27" s="7"/>
      <c r="S27" s="7"/>
      <c r="AC27" t="e">
        <f>CONCATENATE(#REF!,B28)</f>
        <v>#REF!</v>
      </c>
      <c r="AD27" t="str">
        <f t="shared" si="1"/>
        <v/>
      </c>
    </row>
    <row r="28" spans="1:30" x14ac:dyDescent="0.35">
      <c r="A28" s="3">
        <v>18</v>
      </c>
      <c r="B28" s="7" t="s">
        <v>40</v>
      </c>
      <c r="C28" s="7"/>
      <c r="D28" s="7"/>
      <c r="E28" s="7"/>
      <c r="F28" s="7"/>
      <c r="G28" s="22"/>
      <c r="H28" s="22"/>
      <c r="I28" s="22"/>
      <c r="J28" s="22"/>
      <c r="K28" s="22"/>
      <c r="L28" s="7"/>
      <c r="M28" s="7"/>
      <c r="N28" s="7"/>
      <c r="O28" s="7"/>
      <c r="P28" s="7" t="s">
        <v>78</v>
      </c>
      <c r="Q28" s="7"/>
      <c r="R28" s="7"/>
      <c r="S28" s="7"/>
      <c r="AC28" t="e">
        <f>CONCATENATE(#REF!,B29)</f>
        <v>#REF!</v>
      </c>
      <c r="AD28" t="str">
        <f t="shared" si="1"/>
        <v/>
      </c>
    </row>
    <row r="29" spans="1:30" x14ac:dyDescent="0.35">
      <c r="A29" s="3">
        <v>19</v>
      </c>
      <c r="B29" s="7" t="s">
        <v>41</v>
      </c>
      <c r="C29" s="7"/>
      <c r="D29" s="7"/>
      <c r="E29" s="7"/>
      <c r="F29" s="7"/>
      <c r="G29" s="22"/>
      <c r="H29" s="22"/>
      <c r="I29" s="22"/>
      <c r="J29" s="22"/>
      <c r="K29" s="22"/>
      <c r="L29" s="7"/>
      <c r="M29" s="7"/>
      <c r="N29" s="7"/>
      <c r="O29" s="7"/>
      <c r="P29" s="7" t="s">
        <v>79</v>
      </c>
      <c r="Q29" s="7"/>
      <c r="R29" s="7"/>
      <c r="S29" s="7"/>
      <c r="AC29" t="e">
        <f>CONCATENATE(#REF!,B30)</f>
        <v>#REF!</v>
      </c>
      <c r="AD29" t="str">
        <f t="shared" si="1"/>
        <v/>
      </c>
    </row>
    <row r="30" spans="1:30" x14ac:dyDescent="0.35">
      <c r="A30" s="3">
        <v>20</v>
      </c>
      <c r="B30" s="7" t="s">
        <v>42</v>
      </c>
      <c r="C30" s="7"/>
      <c r="D30" s="7"/>
      <c r="E30" s="7"/>
      <c r="F30" s="7"/>
      <c r="G30" s="22"/>
      <c r="H30" s="22"/>
      <c r="I30" s="22"/>
      <c r="J30" s="22"/>
      <c r="K30" s="22"/>
      <c r="L30" s="7"/>
      <c r="M30" s="7"/>
      <c r="N30" s="7"/>
      <c r="O30" s="7"/>
      <c r="P30" s="7" t="s">
        <v>80</v>
      </c>
      <c r="Q30" s="7"/>
      <c r="R30" s="7"/>
      <c r="S30" s="7"/>
      <c r="AC30" t="e">
        <f>CONCATENATE(#REF!,B31)</f>
        <v>#REF!</v>
      </c>
      <c r="AD30" t="str">
        <f t="shared" si="1"/>
        <v/>
      </c>
    </row>
    <row r="31" spans="1:30" x14ac:dyDescent="0.35">
      <c r="A31" s="3">
        <v>21</v>
      </c>
      <c r="B31" s="7" t="s">
        <v>43</v>
      </c>
      <c r="C31" s="7"/>
      <c r="D31" s="7"/>
      <c r="E31" s="7"/>
      <c r="F31" s="7"/>
      <c r="G31" s="22"/>
      <c r="H31" s="22"/>
      <c r="I31" s="22"/>
      <c r="J31" s="22"/>
      <c r="K31" s="22"/>
      <c r="L31" s="7"/>
      <c r="M31" s="7"/>
      <c r="N31" s="7"/>
      <c r="O31" s="7"/>
      <c r="P31" s="7" t="s">
        <v>69</v>
      </c>
      <c r="Q31" s="7"/>
      <c r="R31" s="7"/>
      <c r="S31" s="7"/>
      <c r="AC31" t="e">
        <f>CONCATENATE(#REF!,B32)</f>
        <v>#REF!</v>
      </c>
      <c r="AD31" t="str">
        <f t="shared" si="1"/>
        <v/>
      </c>
    </row>
    <row r="32" spans="1:30" x14ac:dyDescent="0.35">
      <c r="A32" s="3">
        <v>22</v>
      </c>
      <c r="B32" s="7" t="s">
        <v>44</v>
      </c>
      <c r="C32" s="7"/>
      <c r="D32" s="7"/>
      <c r="E32" s="7"/>
      <c r="F32" s="7"/>
      <c r="G32" s="22"/>
      <c r="H32" s="22"/>
      <c r="I32" s="22"/>
      <c r="J32" s="22"/>
      <c r="K32" s="22"/>
      <c r="L32" s="7"/>
      <c r="M32" s="7"/>
      <c r="N32" s="7"/>
      <c r="O32" s="7"/>
      <c r="P32" s="7" t="s">
        <v>81</v>
      </c>
      <c r="Q32" s="7"/>
      <c r="R32" s="7"/>
      <c r="S32" s="7"/>
      <c r="AC32" t="e">
        <f>CONCATENATE(#REF!,B33)</f>
        <v>#REF!</v>
      </c>
      <c r="AD32" t="str">
        <f t="shared" si="1"/>
        <v/>
      </c>
    </row>
    <row r="33" spans="1:30" x14ac:dyDescent="0.35">
      <c r="A33" s="3">
        <v>23</v>
      </c>
      <c r="B33" s="7" t="s">
        <v>45</v>
      </c>
      <c r="C33" s="7"/>
      <c r="D33" s="7"/>
      <c r="E33" s="7"/>
      <c r="F33" s="7"/>
      <c r="G33" s="22"/>
      <c r="H33" s="22"/>
      <c r="I33" s="22"/>
      <c r="J33" s="22"/>
      <c r="K33" s="22"/>
      <c r="L33" s="7"/>
      <c r="M33" s="7"/>
      <c r="N33" s="7"/>
      <c r="O33" s="7"/>
      <c r="P33" s="7" t="s">
        <v>81</v>
      </c>
      <c r="Q33" s="7"/>
      <c r="R33" s="7"/>
      <c r="S33" s="7"/>
      <c r="AC33" t="e">
        <f>CONCATENATE(#REF!,B34)</f>
        <v>#REF!</v>
      </c>
      <c r="AD33" t="str">
        <f t="shared" si="1"/>
        <v/>
      </c>
    </row>
    <row r="34" spans="1:30" x14ac:dyDescent="0.35">
      <c r="A34" s="3">
        <v>24</v>
      </c>
      <c r="B34" s="7" t="s">
        <v>46</v>
      </c>
      <c r="C34" s="7"/>
      <c r="D34" s="7"/>
      <c r="E34" s="7"/>
      <c r="F34" s="7"/>
      <c r="G34" s="22"/>
      <c r="H34" s="22"/>
      <c r="I34" s="22"/>
      <c r="J34" s="22"/>
      <c r="K34" s="22"/>
      <c r="L34" s="7"/>
      <c r="M34" s="7"/>
      <c r="N34" s="7"/>
      <c r="O34" s="7"/>
      <c r="P34" s="7" t="s">
        <v>72</v>
      </c>
      <c r="Q34" s="7"/>
      <c r="R34" s="7"/>
      <c r="S34" s="7"/>
      <c r="AC34" t="e">
        <f>CONCATENATE(#REF!,B35)</f>
        <v>#REF!</v>
      </c>
      <c r="AD34" t="str">
        <f t="shared" si="1"/>
        <v/>
      </c>
    </row>
    <row r="35" spans="1:30" x14ac:dyDescent="0.35">
      <c r="A35" s="3">
        <v>25</v>
      </c>
      <c r="B35" s="7" t="s">
        <v>47</v>
      </c>
      <c r="C35" s="7"/>
      <c r="D35" s="7"/>
      <c r="E35" s="7"/>
      <c r="F35" s="7"/>
      <c r="G35" s="22"/>
      <c r="H35" s="22"/>
      <c r="I35" s="22"/>
      <c r="J35" s="22"/>
      <c r="K35" s="22"/>
      <c r="L35" s="7"/>
      <c r="M35" s="7"/>
      <c r="N35" s="7"/>
      <c r="O35" s="7"/>
      <c r="P35" s="7" t="s">
        <v>75</v>
      </c>
      <c r="Q35" s="7"/>
      <c r="R35" s="7"/>
      <c r="S35" s="7"/>
      <c r="AC35" t="e">
        <f>CONCATENATE(#REF!,B36)</f>
        <v>#REF!</v>
      </c>
      <c r="AD35" t="str">
        <f t="shared" si="1"/>
        <v/>
      </c>
    </row>
    <row r="36" spans="1:30" x14ac:dyDescent="0.35">
      <c r="A36" s="3">
        <v>26</v>
      </c>
      <c r="B36" s="7" t="s">
        <v>48</v>
      </c>
      <c r="C36" s="7"/>
      <c r="D36" s="7"/>
      <c r="E36" s="7"/>
      <c r="F36" s="7"/>
      <c r="G36" s="22"/>
      <c r="H36" s="22"/>
      <c r="I36" s="22"/>
      <c r="J36" s="22"/>
      <c r="K36" s="22"/>
      <c r="L36" s="7"/>
      <c r="M36" s="7"/>
      <c r="N36" s="7"/>
      <c r="O36" s="7"/>
      <c r="P36" s="7" t="s">
        <v>72</v>
      </c>
      <c r="Q36" s="7"/>
      <c r="R36" s="7"/>
      <c r="S36" s="7"/>
      <c r="AC36" t="e">
        <f>CONCATENATE(#REF!,B37)</f>
        <v>#REF!</v>
      </c>
      <c r="AD36" t="str">
        <f t="shared" si="1"/>
        <v/>
      </c>
    </row>
    <row r="37" spans="1:30" x14ac:dyDescent="0.35">
      <c r="A37" s="3">
        <v>27</v>
      </c>
      <c r="B37" s="7" t="s">
        <v>49</v>
      </c>
      <c r="C37" s="7"/>
      <c r="D37" s="7"/>
      <c r="E37" s="7"/>
      <c r="F37" s="7"/>
      <c r="G37" s="22"/>
      <c r="H37" s="22"/>
      <c r="I37" s="22"/>
      <c r="J37" s="22"/>
      <c r="K37" s="22"/>
      <c r="L37" s="7"/>
      <c r="M37" s="7"/>
      <c r="N37" s="7"/>
      <c r="O37" s="7"/>
      <c r="P37" s="7" t="s">
        <v>84</v>
      </c>
      <c r="Q37" s="7"/>
      <c r="R37" s="7"/>
      <c r="S37" s="7"/>
      <c r="AC37" t="e">
        <f>CONCATENATE(#REF!,B38)</f>
        <v>#REF!</v>
      </c>
      <c r="AD37" t="str">
        <f t="shared" si="1"/>
        <v/>
      </c>
    </row>
    <row r="38" spans="1:30" x14ac:dyDescent="0.35">
      <c r="A38" s="3">
        <v>28</v>
      </c>
      <c r="B38" s="7" t="s">
        <v>50</v>
      </c>
      <c r="C38" s="7"/>
      <c r="D38" s="7"/>
      <c r="E38" s="7"/>
      <c r="F38" s="7"/>
      <c r="G38" s="22"/>
      <c r="H38" s="22"/>
      <c r="I38" s="22"/>
      <c r="J38" s="22"/>
      <c r="K38" s="22"/>
      <c r="L38" s="7"/>
      <c r="M38" s="7"/>
      <c r="N38" s="7"/>
      <c r="O38" s="7"/>
      <c r="P38" s="7" t="s">
        <v>77</v>
      </c>
      <c r="Q38" s="7"/>
      <c r="R38" s="7"/>
      <c r="S38" s="7"/>
      <c r="AC38" t="e">
        <f>CONCATENATE(#REF!,#REF!)</f>
        <v>#REF!</v>
      </c>
    </row>
    <row r="39" spans="1:30" x14ac:dyDescent="0.35">
      <c r="A39" s="3">
        <v>29</v>
      </c>
      <c r="B39" s="7" t="s">
        <v>51</v>
      </c>
      <c r="C39" s="7"/>
      <c r="D39" s="7"/>
      <c r="E39" s="7"/>
      <c r="F39" s="7"/>
      <c r="G39" s="22"/>
      <c r="H39" s="22"/>
      <c r="I39" s="22"/>
      <c r="J39" s="22"/>
      <c r="K39" s="22"/>
      <c r="L39" s="7"/>
      <c r="M39" s="7"/>
      <c r="N39" s="7"/>
      <c r="O39" s="7"/>
      <c r="P39" s="7" t="s">
        <v>82</v>
      </c>
      <c r="Q39" s="7"/>
      <c r="R39" s="7"/>
      <c r="S39" s="7"/>
      <c r="AC39" t="e">
        <f>CONCATENATE(#REF!,B40)</f>
        <v>#REF!</v>
      </c>
      <c r="AD39" t="str">
        <f>IF(L40="","",L40/M40)</f>
        <v/>
      </c>
    </row>
    <row r="40" spans="1:30" x14ac:dyDescent="0.35">
      <c r="A40" s="3">
        <v>30</v>
      </c>
      <c r="B40" s="7" t="s">
        <v>52</v>
      </c>
      <c r="C40" s="7"/>
      <c r="D40" s="7"/>
      <c r="E40" s="7"/>
      <c r="F40" s="7"/>
      <c r="G40" s="22"/>
      <c r="H40" s="22"/>
      <c r="I40" s="22"/>
      <c r="J40" s="22"/>
      <c r="K40" s="22"/>
      <c r="L40" s="7"/>
      <c r="M40" s="7"/>
      <c r="N40" s="7"/>
      <c r="O40" s="7"/>
      <c r="P40" s="7" t="s">
        <v>83</v>
      </c>
      <c r="Q40" s="7"/>
      <c r="R40" s="7"/>
      <c r="S40" s="7"/>
    </row>
    <row r="42" spans="1:30" x14ac:dyDescent="0.35">
      <c r="P42" s="263" t="s">
        <v>110</v>
      </c>
      <c r="Q42" s="263"/>
    </row>
    <row r="43" spans="1:30" x14ac:dyDescent="0.35">
      <c r="P43" s="68"/>
      <c r="Q43" s="68"/>
    </row>
    <row r="44" spans="1:30" x14ac:dyDescent="0.35">
      <c r="P44" s="68"/>
      <c r="Q44" s="68"/>
    </row>
    <row r="45" spans="1:30" x14ac:dyDescent="0.35">
      <c r="P45" s="68"/>
      <c r="Q45" s="68"/>
    </row>
    <row r="46" spans="1:30" x14ac:dyDescent="0.35">
      <c r="P46" s="310" t="s">
        <v>135</v>
      </c>
      <c r="Q46" s="310"/>
    </row>
  </sheetData>
  <mergeCells count="13">
    <mergeCell ref="P42:Q42"/>
    <mergeCell ref="P46:Q46"/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5" right="0.25" top="0.25" bottom="0.25" header="0.31496062992126" footer="0.31496062992126"/>
  <pageSetup paperSize="5" scale="70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C39"/>
  <sheetViews>
    <sheetView zoomScale="70" zoomScaleNormal="70" workbookViewId="0">
      <pane ySplit="10" topLeftCell="A11" activePane="bottomLeft" state="frozen"/>
      <selection pane="bottomLeft" activeCell="A21" sqref="A21:XFD21"/>
    </sheetView>
  </sheetViews>
  <sheetFormatPr defaultRowHeight="14.5" x14ac:dyDescent="0.35"/>
  <cols>
    <col min="1" max="1" width="4.26953125" customWidth="1"/>
    <col min="2" max="2" width="16" bestFit="1" customWidth="1"/>
    <col min="3" max="3" width="16.54296875" customWidth="1"/>
    <col min="4" max="4" width="14.7265625" bestFit="1" customWidth="1"/>
    <col min="5" max="5" width="13.54296875" bestFit="1" customWidth="1"/>
    <col min="6" max="6" width="12.54296875" bestFit="1" customWidth="1"/>
    <col min="12" max="12" width="11.26953125" bestFit="1" customWidth="1"/>
    <col min="15" max="15" width="17.26953125" bestFit="1" customWidth="1"/>
    <col min="16" max="16" width="15.26953125" bestFit="1" customWidth="1"/>
    <col min="17" max="17" width="15.1796875" customWidth="1"/>
    <col min="18" max="18" width="12.1796875" customWidth="1"/>
    <col min="19" max="19" width="11.1796875" bestFit="1" customWidth="1"/>
    <col min="28" max="29" width="9.1796875" hidden="1" customWidth="1"/>
  </cols>
  <sheetData>
    <row r="1" spans="1:29" x14ac:dyDescent="0.35">
      <c r="A1" s="1" t="s">
        <v>57</v>
      </c>
    </row>
    <row r="2" spans="1:29" x14ac:dyDescent="0.35">
      <c r="A2" s="2"/>
    </row>
    <row r="3" spans="1:29" ht="30" customHeight="1" x14ac:dyDescent="0.35">
      <c r="A3" s="272" t="s">
        <v>58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29" x14ac:dyDescent="0.35">
      <c r="A4" s="1"/>
      <c r="R4" s="5"/>
      <c r="S4" s="6"/>
    </row>
    <row r="5" spans="1:29" x14ac:dyDescent="0.35">
      <c r="A5" s="1" t="s">
        <v>63</v>
      </c>
      <c r="C5" t="s">
        <v>66</v>
      </c>
      <c r="Q5" t="s">
        <v>60</v>
      </c>
      <c r="R5" s="1">
        <v>2018</v>
      </c>
    </row>
    <row r="6" spans="1:29" x14ac:dyDescent="0.35">
      <c r="A6" s="1" t="s">
        <v>62</v>
      </c>
      <c r="C6" t="s">
        <v>65</v>
      </c>
      <c r="Q6" t="s">
        <v>59</v>
      </c>
      <c r="R6" s="1" t="s">
        <v>61</v>
      </c>
    </row>
    <row r="7" spans="1:29" x14ac:dyDescent="0.35">
      <c r="A7" s="1" t="s">
        <v>64</v>
      </c>
      <c r="C7" t="s">
        <v>53</v>
      </c>
    </row>
    <row r="8" spans="1:29" s="11" customFormat="1" x14ac:dyDescent="0.35">
      <c r="A8" s="290" t="s">
        <v>3</v>
      </c>
      <c r="B8" s="290" t="s">
        <v>4</v>
      </c>
      <c r="C8" s="290" t="s">
        <v>23</v>
      </c>
      <c r="D8" s="290" t="s">
        <v>6</v>
      </c>
      <c r="E8" s="290"/>
      <c r="F8" s="290"/>
      <c r="G8" s="290"/>
      <c r="H8" s="290"/>
      <c r="I8" s="290"/>
      <c r="J8" s="290"/>
      <c r="K8" s="290"/>
      <c r="L8" s="290" t="s">
        <v>22</v>
      </c>
      <c r="M8" s="290"/>
      <c r="N8" s="290"/>
      <c r="O8" s="290"/>
      <c r="P8" s="8"/>
      <c r="Q8" s="9"/>
      <c r="R8" s="10"/>
      <c r="S8" s="8"/>
      <c r="AB8" s="11" t="s">
        <v>54</v>
      </c>
      <c r="AC8" s="11" t="s">
        <v>54</v>
      </c>
    </row>
    <row r="9" spans="1:29" s="11" customFormat="1" x14ac:dyDescent="0.35">
      <c r="A9" s="290"/>
      <c r="B9" s="290"/>
      <c r="C9" s="290"/>
      <c r="D9" s="291" t="s">
        <v>7</v>
      </c>
      <c r="E9" s="291"/>
      <c r="F9" s="291"/>
      <c r="G9" s="291"/>
      <c r="H9" s="291" t="s">
        <v>12</v>
      </c>
      <c r="I9" s="291"/>
      <c r="J9" s="291"/>
      <c r="K9" s="291"/>
      <c r="L9" s="291" t="s">
        <v>13</v>
      </c>
      <c r="M9" s="291"/>
      <c r="N9" s="291" t="s">
        <v>15</v>
      </c>
      <c r="O9" s="291"/>
      <c r="P9" s="12"/>
      <c r="Q9" s="288" t="s">
        <v>17</v>
      </c>
      <c r="R9" s="289"/>
      <c r="S9" s="12" t="s">
        <v>18</v>
      </c>
      <c r="AB9" s="11" t="s">
        <v>56</v>
      </c>
      <c r="AC9" s="11" t="s">
        <v>56</v>
      </c>
    </row>
    <row r="10" spans="1:29" s="11" customFormat="1" ht="43.5" x14ac:dyDescent="0.35">
      <c r="A10" s="290"/>
      <c r="B10" s="290"/>
      <c r="C10" s="290"/>
      <c r="D10" s="13" t="s">
        <v>8</v>
      </c>
      <c r="E10" s="13" t="s">
        <v>9</v>
      </c>
      <c r="F10" s="13" t="s">
        <v>10</v>
      </c>
      <c r="G10" s="13" t="s">
        <v>11</v>
      </c>
      <c r="H10" s="13" t="s">
        <v>0</v>
      </c>
      <c r="I10" s="13" t="s">
        <v>1</v>
      </c>
      <c r="J10" s="13" t="s">
        <v>2</v>
      </c>
      <c r="K10" s="13" t="s">
        <v>11</v>
      </c>
      <c r="L10" s="13" t="s">
        <v>14</v>
      </c>
      <c r="M10" s="13" t="s">
        <v>21</v>
      </c>
      <c r="N10" s="13" t="s">
        <v>14</v>
      </c>
      <c r="O10" s="13" t="s">
        <v>21</v>
      </c>
      <c r="P10" s="14" t="s">
        <v>16</v>
      </c>
      <c r="Q10" s="13" t="s">
        <v>19</v>
      </c>
      <c r="R10" s="13" t="s">
        <v>20</v>
      </c>
      <c r="S10" s="14"/>
      <c r="AB10" s="11" t="s">
        <v>55</v>
      </c>
      <c r="AC10" s="11" t="s">
        <v>55</v>
      </c>
    </row>
    <row r="11" spans="1:29" x14ac:dyDescent="0.35">
      <c r="A11" s="3">
        <v>1</v>
      </c>
      <c r="B11" s="4" t="s">
        <v>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7" t="s">
        <v>67</v>
      </c>
      <c r="Q11" s="7"/>
      <c r="R11" s="7"/>
      <c r="S11" s="7"/>
      <c r="AB11" t="e">
        <f>CONCATENATE(#REF!,B11)</f>
        <v>#REF!</v>
      </c>
      <c r="AC11" t="str">
        <f>IF(L11="","",L11/M11)</f>
        <v/>
      </c>
    </row>
    <row r="12" spans="1:29" x14ac:dyDescent="0.35">
      <c r="A12" s="3">
        <v>2</v>
      </c>
      <c r="B12" s="4" t="s">
        <v>25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7" t="s">
        <v>68</v>
      </c>
      <c r="Q12" s="7"/>
      <c r="R12" s="7"/>
      <c r="S12" s="7"/>
      <c r="AB12" t="e">
        <f>CONCATENATE(#REF!,B12)</f>
        <v>#REF!</v>
      </c>
      <c r="AC12" t="str">
        <f t="shared" ref="AC12:AC39" si="0">IF(L12="","",L12/M12)</f>
        <v/>
      </c>
    </row>
    <row r="13" spans="1:29" x14ac:dyDescent="0.35">
      <c r="A13" s="3">
        <v>3</v>
      </c>
      <c r="B13" s="7" t="s">
        <v>26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 t="s">
        <v>68</v>
      </c>
      <c r="Q13" s="7"/>
      <c r="R13" s="7"/>
      <c r="S13" s="7"/>
      <c r="AB13" t="e">
        <f>CONCATENATE(#REF!,B13)</f>
        <v>#REF!</v>
      </c>
      <c r="AC13" t="str">
        <f t="shared" si="0"/>
        <v/>
      </c>
    </row>
    <row r="14" spans="1:29" x14ac:dyDescent="0.35">
      <c r="A14" s="3">
        <v>4</v>
      </c>
      <c r="B14" s="7" t="s">
        <v>27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 t="s">
        <v>69</v>
      </c>
      <c r="Q14" s="7"/>
      <c r="R14" s="7"/>
      <c r="S14" s="7"/>
      <c r="AB14" t="e">
        <f>CONCATENATE(#REF!,B14)</f>
        <v>#REF!</v>
      </c>
      <c r="AC14" t="str">
        <f t="shared" si="0"/>
        <v/>
      </c>
    </row>
    <row r="15" spans="1:29" x14ac:dyDescent="0.35">
      <c r="A15" s="3">
        <v>5</v>
      </c>
      <c r="B15" s="7" t="s">
        <v>28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 t="s">
        <v>70</v>
      </c>
      <c r="Q15" s="7"/>
      <c r="R15" s="7"/>
      <c r="S15" s="7"/>
      <c r="AB15" t="e">
        <f>CONCATENATE(#REF!,B15)</f>
        <v>#REF!</v>
      </c>
      <c r="AC15" t="str">
        <f t="shared" si="0"/>
        <v/>
      </c>
    </row>
    <row r="16" spans="1:29" x14ac:dyDescent="0.35">
      <c r="A16" s="3">
        <v>6</v>
      </c>
      <c r="B16" s="7" t="s">
        <v>29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 t="s">
        <v>70</v>
      </c>
      <c r="Q16" s="7"/>
      <c r="R16" s="7"/>
      <c r="S16" s="7"/>
      <c r="AB16" t="e">
        <f>CONCATENATE(#REF!,B16)</f>
        <v>#REF!</v>
      </c>
      <c r="AC16" t="str">
        <f t="shared" si="0"/>
        <v/>
      </c>
    </row>
    <row r="17" spans="1:29" x14ac:dyDescent="0.35">
      <c r="A17" s="3">
        <v>7</v>
      </c>
      <c r="B17" s="7" t="s">
        <v>30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 t="s">
        <v>71</v>
      </c>
      <c r="Q17" s="7"/>
      <c r="R17" s="7"/>
      <c r="S17" s="7"/>
      <c r="AB17" t="e">
        <f>CONCATENATE(#REF!,B17)</f>
        <v>#REF!</v>
      </c>
      <c r="AC17" t="str">
        <f t="shared" si="0"/>
        <v/>
      </c>
    </row>
    <row r="18" spans="1:29" x14ac:dyDescent="0.35">
      <c r="A18" s="3">
        <v>8</v>
      </c>
      <c r="B18" s="7" t="s">
        <v>31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 t="s">
        <v>72</v>
      </c>
      <c r="Q18" s="7"/>
      <c r="R18" s="7"/>
      <c r="S18" s="7"/>
      <c r="AB18" t="e">
        <f>CONCATENATE(#REF!,B18)</f>
        <v>#REF!</v>
      </c>
      <c r="AC18" t="str">
        <f t="shared" si="0"/>
        <v/>
      </c>
    </row>
    <row r="19" spans="1:29" x14ac:dyDescent="0.35">
      <c r="A19" s="3">
        <v>9</v>
      </c>
      <c r="B19" s="7" t="s">
        <v>32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 t="s">
        <v>72</v>
      </c>
      <c r="Q19" s="7"/>
      <c r="R19" s="7"/>
      <c r="S19" s="7"/>
      <c r="AB19" t="e">
        <f>CONCATENATE(#REF!,B19)</f>
        <v>#REF!</v>
      </c>
      <c r="AC19" t="str">
        <f t="shared" si="0"/>
        <v/>
      </c>
    </row>
    <row r="20" spans="1:29" x14ac:dyDescent="0.35">
      <c r="A20" s="3">
        <v>10</v>
      </c>
      <c r="B20" s="7" t="s">
        <v>33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 t="s">
        <v>72</v>
      </c>
      <c r="Q20" s="7"/>
      <c r="R20" s="7"/>
      <c r="S20" s="7"/>
      <c r="AB20" t="e">
        <f>CONCATENATE(#REF!,B20)</f>
        <v>#REF!</v>
      </c>
      <c r="AC20" t="str">
        <f t="shared" si="0"/>
        <v/>
      </c>
    </row>
    <row r="21" spans="1:29" x14ac:dyDescent="0.35">
      <c r="A21" s="3">
        <v>12</v>
      </c>
      <c r="B21" s="7" t="s">
        <v>34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 t="s">
        <v>73</v>
      </c>
      <c r="Q21" s="7"/>
      <c r="R21" s="7"/>
      <c r="S21" s="7"/>
      <c r="AB21" t="e">
        <f>CONCATENATE(#REF!,B21)</f>
        <v>#REF!</v>
      </c>
      <c r="AC21" t="str">
        <f t="shared" si="0"/>
        <v/>
      </c>
    </row>
    <row r="22" spans="1:29" x14ac:dyDescent="0.35">
      <c r="A22" s="3">
        <v>13</v>
      </c>
      <c r="B22" s="7" t="s">
        <v>35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 t="s">
        <v>74</v>
      </c>
      <c r="Q22" s="7"/>
      <c r="R22" s="7"/>
      <c r="S22" s="7"/>
      <c r="AB22" t="e">
        <f>CONCATENATE(#REF!,B22)</f>
        <v>#REF!</v>
      </c>
      <c r="AC22" t="str">
        <f t="shared" si="0"/>
        <v/>
      </c>
    </row>
    <row r="23" spans="1:29" x14ac:dyDescent="0.35">
      <c r="A23" s="3">
        <v>14</v>
      </c>
      <c r="B23" s="7" t="s">
        <v>36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 t="s">
        <v>75</v>
      </c>
      <c r="Q23" s="7"/>
      <c r="R23" s="7"/>
      <c r="S23" s="7"/>
      <c r="AB23" t="e">
        <f>CONCATENATE(#REF!,B23)</f>
        <v>#REF!</v>
      </c>
      <c r="AC23" t="str">
        <f t="shared" si="0"/>
        <v/>
      </c>
    </row>
    <row r="24" spans="1:29" x14ac:dyDescent="0.35">
      <c r="A24" s="3">
        <v>15</v>
      </c>
      <c r="B24" s="7" t="s">
        <v>37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 t="s">
        <v>74</v>
      </c>
      <c r="Q24" s="7"/>
      <c r="R24" s="7"/>
      <c r="S24" s="7"/>
      <c r="AB24" t="e">
        <f>CONCATENATE(#REF!,B24)</f>
        <v>#REF!</v>
      </c>
      <c r="AC24" t="str">
        <f t="shared" si="0"/>
        <v/>
      </c>
    </row>
    <row r="25" spans="1:29" x14ac:dyDescent="0.35">
      <c r="A25" s="3">
        <v>16</v>
      </c>
      <c r="B25" s="7" t="s">
        <v>38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 t="s">
        <v>76</v>
      </c>
      <c r="Q25" s="7"/>
      <c r="R25" s="7"/>
      <c r="S25" s="7"/>
      <c r="AB25" t="e">
        <f>CONCATENATE(#REF!,B25)</f>
        <v>#REF!</v>
      </c>
      <c r="AC25" t="str">
        <f t="shared" si="0"/>
        <v/>
      </c>
    </row>
    <row r="26" spans="1:29" x14ac:dyDescent="0.35">
      <c r="A26" s="3">
        <v>17</v>
      </c>
      <c r="B26" s="7" t="s">
        <v>39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 t="s">
        <v>77</v>
      </c>
      <c r="Q26" s="7"/>
      <c r="R26" s="7"/>
      <c r="S26" s="7"/>
      <c r="AB26" t="e">
        <f>CONCATENATE(#REF!,B26)</f>
        <v>#REF!</v>
      </c>
      <c r="AC26" t="str">
        <f t="shared" si="0"/>
        <v/>
      </c>
    </row>
    <row r="27" spans="1:29" x14ac:dyDescent="0.35">
      <c r="A27" s="3">
        <v>18</v>
      </c>
      <c r="B27" s="7" t="s">
        <v>40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 t="s">
        <v>78</v>
      </c>
      <c r="Q27" s="7"/>
      <c r="R27" s="7"/>
      <c r="S27" s="7"/>
      <c r="AB27" t="e">
        <f>CONCATENATE(#REF!,B27)</f>
        <v>#REF!</v>
      </c>
      <c r="AC27" t="str">
        <f t="shared" si="0"/>
        <v/>
      </c>
    </row>
    <row r="28" spans="1:29" x14ac:dyDescent="0.35">
      <c r="A28" s="3">
        <v>19</v>
      </c>
      <c r="B28" s="7" t="s">
        <v>41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 t="s">
        <v>79</v>
      </c>
      <c r="Q28" s="7"/>
      <c r="R28" s="7"/>
      <c r="S28" s="7"/>
      <c r="AB28" t="e">
        <f>CONCATENATE(#REF!,B28)</f>
        <v>#REF!</v>
      </c>
      <c r="AC28" t="str">
        <f t="shared" si="0"/>
        <v/>
      </c>
    </row>
    <row r="29" spans="1:29" x14ac:dyDescent="0.35">
      <c r="A29" s="3">
        <v>20</v>
      </c>
      <c r="B29" s="7" t="s">
        <v>42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 t="s">
        <v>80</v>
      </c>
      <c r="Q29" s="7"/>
      <c r="R29" s="7"/>
      <c r="S29" s="7"/>
      <c r="AB29" t="e">
        <f>CONCATENATE(#REF!,B29)</f>
        <v>#REF!</v>
      </c>
      <c r="AC29" t="str">
        <f t="shared" si="0"/>
        <v/>
      </c>
    </row>
    <row r="30" spans="1:29" x14ac:dyDescent="0.35">
      <c r="A30" s="3">
        <v>21</v>
      </c>
      <c r="B30" s="7" t="s">
        <v>43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 t="s">
        <v>69</v>
      </c>
      <c r="Q30" s="7"/>
      <c r="R30" s="7"/>
      <c r="S30" s="7"/>
      <c r="AB30" t="e">
        <f>CONCATENATE(#REF!,B30)</f>
        <v>#REF!</v>
      </c>
      <c r="AC30" t="str">
        <f t="shared" si="0"/>
        <v/>
      </c>
    </row>
    <row r="31" spans="1:29" x14ac:dyDescent="0.35">
      <c r="A31" s="3">
        <v>22</v>
      </c>
      <c r="B31" s="7" t="s">
        <v>44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 t="s">
        <v>81</v>
      </c>
      <c r="Q31" s="7"/>
      <c r="R31" s="7"/>
      <c r="S31" s="7"/>
      <c r="AB31" t="e">
        <f>CONCATENATE(#REF!,B31)</f>
        <v>#REF!</v>
      </c>
      <c r="AC31" t="str">
        <f t="shared" si="0"/>
        <v/>
      </c>
    </row>
    <row r="32" spans="1:29" x14ac:dyDescent="0.35">
      <c r="A32" s="3">
        <v>23</v>
      </c>
      <c r="B32" s="7" t="s">
        <v>45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 t="s">
        <v>81</v>
      </c>
      <c r="Q32" s="7"/>
      <c r="R32" s="7"/>
      <c r="S32" s="7"/>
      <c r="AB32" t="e">
        <f>CONCATENATE(#REF!,B32)</f>
        <v>#REF!</v>
      </c>
      <c r="AC32" t="str">
        <f t="shared" si="0"/>
        <v/>
      </c>
    </row>
    <row r="33" spans="1:29" x14ac:dyDescent="0.35">
      <c r="A33" s="3">
        <v>24</v>
      </c>
      <c r="B33" s="7" t="s">
        <v>46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72</v>
      </c>
      <c r="Q33" s="7"/>
      <c r="R33" s="7"/>
      <c r="S33" s="7"/>
      <c r="AB33" t="e">
        <f>CONCATENATE(#REF!,B33)</f>
        <v>#REF!</v>
      </c>
      <c r="AC33" t="str">
        <f t="shared" si="0"/>
        <v/>
      </c>
    </row>
    <row r="34" spans="1:29" x14ac:dyDescent="0.35">
      <c r="A34" s="3">
        <v>25</v>
      </c>
      <c r="B34" s="7" t="s">
        <v>47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 t="s">
        <v>75</v>
      </c>
      <c r="Q34" s="7"/>
      <c r="R34" s="7"/>
      <c r="S34" s="7"/>
      <c r="AB34" t="e">
        <f>CONCATENATE(#REF!,B34)</f>
        <v>#REF!</v>
      </c>
      <c r="AC34" t="str">
        <f t="shared" si="0"/>
        <v/>
      </c>
    </row>
    <row r="35" spans="1:29" x14ac:dyDescent="0.35">
      <c r="A35" s="3">
        <v>26</v>
      </c>
      <c r="B35" s="7" t="s">
        <v>48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 t="s">
        <v>72</v>
      </c>
      <c r="Q35" s="7"/>
      <c r="R35" s="7"/>
      <c r="S35" s="7"/>
      <c r="AB35" t="e">
        <f>CONCATENATE(#REF!,B35)</f>
        <v>#REF!</v>
      </c>
      <c r="AC35" t="str">
        <f t="shared" si="0"/>
        <v/>
      </c>
    </row>
    <row r="36" spans="1:29" x14ac:dyDescent="0.35">
      <c r="A36" s="3">
        <v>27</v>
      </c>
      <c r="B36" s="7" t="s">
        <v>49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 t="s">
        <v>84</v>
      </c>
      <c r="Q36" s="7"/>
      <c r="R36" s="7"/>
      <c r="S36" s="7"/>
      <c r="AB36" t="e">
        <f>CONCATENATE(#REF!,B36)</f>
        <v>#REF!</v>
      </c>
      <c r="AC36" t="str">
        <f t="shared" si="0"/>
        <v/>
      </c>
    </row>
    <row r="37" spans="1:29" x14ac:dyDescent="0.35">
      <c r="A37" s="3">
        <v>28</v>
      </c>
      <c r="B37" s="7" t="s">
        <v>50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 t="s">
        <v>77</v>
      </c>
      <c r="Q37" s="7"/>
      <c r="R37" s="7"/>
      <c r="S37" s="7"/>
      <c r="AB37" t="e">
        <f>CONCATENATE(#REF!,B37)</f>
        <v>#REF!</v>
      </c>
      <c r="AC37" t="str">
        <f t="shared" si="0"/>
        <v/>
      </c>
    </row>
    <row r="38" spans="1:29" x14ac:dyDescent="0.35">
      <c r="A38" s="3">
        <v>29</v>
      </c>
      <c r="B38" s="7" t="s">
        <v>51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 t="s">
        <v>82</v>
      </c>
      <c r="Q38" s="7"/>
      <c r="R38" s="7"/>
      <c r="S38" s="7"/>
      <c r="AB38" t="e">
        <f>CONCATENATE(#REF!,B38)</f>
        <v>#REF!</v>
      </c>
      <c r="AC38" t="str">
        <f t="shared" si="0"/>
        <v/>
      </c>
    </row>
    <row r="39" spans="1:29" x14ac:dyDescent="0.35">
      <c r="A39" s="3">
        <v>30</v>
      </c>
      <c r="B39" s="7" t="s">
        <v>52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 t="s">
        <v>83</v>
      </c>
      <c r="Q39" s="7"/>
      <c r="R39" s="7"/>
      <c r="S39" s="7"/>
      <c r="AB39" t="e">
        <f>CONCATENATE(#REF!,B39)</f>
        <v>#REF!</v>
      </c>
      <c r="AC39" t="str">
        <f t="shared" si="0"/>
        <v/>
      </c>
    </row>
  </sheetData>
  <mergeCells count="11">
    <mergeCell ref="Q9:R9"/>
    <mergeCell ref="A3:S3"/>
    <mergeCell ref="A8:A10"/>
    <mergeCell ref="B8:B10"/>
    <mergeCell ref="C8:C10"/>
    <mergeCell ref="D8:K8"/>
    <mergeCell ref="L8:O8"/>
    <mergeCell ref="D9:G9"/>
    <mergeCell ref="H9:K9"/>
    <mergeCell ref="L9:M9"/>
    <mergeCell ref="N9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Rekap Kab</vt:lpstr>
      <vt:lpstr>dayeuhluhur</vt:lpstr>
      <vt:lpstr>wnrja</vt:lpstr>
      <vt:lpstr>Majenang</vt:lpstr>
      <vt:lpstr>cmggu</vt:lpstr>
      <vt:lpstr>krpucung</vt:lpstr>
      <vt:lpstr>ptmn</vt:lpstr>
      <vt:lpstr>cipari</vt:lpstr>
      <vt:lpstr>sdrja</vt:lpstr>
      <vt:lpstr>kdreja</vt:lpstr>
      <vt:lpstr>gdmangu</vt:lpstr>
      <vt:lpstr>bt sari</vt:lpstr>
      <vt:lpstr>kwanten</vt:lpstr>
      <vt:lpstr>jrlegi</vt:lpstr>
      <vt:lpstr>binangun</vt:lpstr>
      <vt:lpstr>krya</vt:lpstr>
      <vt:lpstr>adpla</vt:lpstr>
      <vt:lpstr>maos</vt:lpstr>
      <vt:lpstr>smpg</vt:lpstr>
      <vt:lpstr>ksghn</vt:lpstr>
      <vt:lpstr>nswg</vt:lpstr>
      <vt:lpstr>kamla</vt:lpstr>
      <vt:lpstr>cilut-Prnt</vt:lpstr>
      <vt:lpstr>cilteng-prnt</vt:lpstr>
      <vt:lpstr>cilse-prnt</vt:lpstr>
      <vt:lpstr>Kecamatan (25)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2019-12-19T08:38:54Z</cp:lastPrinted>
  <dcterms:created xsi:type="dcterms:W3CDTF">2018-04-09T06:03:13Z</dcterms:created>
  <dcterms:modified xsi:type="dcterms:W3CDTF">2023-05-25T08:20:47Z</dcterms:modified>
</cp:coreProperties>
</file>