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I\Downloads\"/>
    </mc:Choice>
  </mc:AlternateContent>
  <xr:revisionPtr revIDLastSave="0" documentId="13_ncr:1_{5DA28194-9A1C-4620-9236-F15AB56ED0EA}" xr6:coauthVersionLast="46" xr6:coauthVersionMax="46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2.1 Evaluasi RKPD TW II" sheetId="5" state="hidden" r:id="rId1"/>
    <sheet name="3.1 Perubahan" sheetId="4" state="hidden" r:id="rId2"/>
    <sheet name="TW IV DES" sheetId="1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'3.1 Perubahan'!$A$6:$AJ$113</definedName>
    <definedName name="_xlnm.Print_Area" localSheetId="0">'2.1 Evaluasi RKPD TW II'!$A$1:$AF$97</definedName>
    <definedName name="_xlnm.Print_Area" localSheetId="1">'3.1 Perubahan'!$B$1:$Z$110</definedName>
    <definedName name="_xlnm.Print_Area" localSheetId="2">'TW IV DES'!$A$1:$AF$94</definedName>
    <definedName name="_xlnm.Print_Titles" localSheetId="0">'2.1 Evaluasi RKPD TW II'!$4:$8</definedName>
    <definedName name="_xlnm.Print_Titles" localSheetId="1">'3.1 Perubahan'!$4:$6</definedName>
    <definedName name="_xlnm.Print_Titles" localSheetId="2">'TW IV DES'!$4:$8</definedName>
  </definedNames>
  <calcPr calcId="191029"/>
</workbook>
</file>

<file path=xl/calcChain.xml><?xml version="1.0" encoding="utf-8"?>
<calcChain xmlns="http://schemas.openxmlformats.org/spreadsheetml/2006/main">
  <c r="W61" i="16" l="1"/>
  <c r="W57" i="16"/>
  <c r="W56" i="16"/>
  <c r="W51" i="16"/>
  <c r="W49" i="16"/>
  <c r="W43" i="16"/>
  <c r="W35" i="16"/>
  <c r="W34" i="16"/>
  <c r="W31" i="16"/>
  <c r="W30" i="16"/>
  <c r="W28" i="16"/>
  <c r="W16" i="16"/>
  <c r="W14" i="16"/>
  <c r="W12" i="16"/>
  <c r="V60" i="16"/>
  <c r="V61" i="16"/>
  <c r="V46" i="16"/>
  <c r="V45" i="16"/>
  <c r="V44" i="16"/>
  <c r="V42" i="16"/>
  <c r="V56" i="16"/>
  <c r="V51" i="16"/>
  <c r="V50" i="16"/>
  <c r="V49" i="16"/>
  <c r="V41" i="16"/>
  <c r="V39" i="16"/>
  <c r="V31" i="16" l="1"/>
  <c r="V30" i="16"/>
  <c r="V28" i="16"/>
  <c r="V27" i="16"/>
  <c r="V26" i="16"/>
  <c r="V25" i="16"/>
  <c r="X25" i="16" s="1"/>
  <c r="J67" i="16"/>
  <c r="Z66" i="16"/>
  <c r="Y66" i="16"/>
  <c r="AA66" i="16" s="1"/>
  <c r="Q66" i="16"/>
  <c r="W65" i="16"/>
  <c r="V65" i="16"/>
  <c r="U65" i="16"/>
  <c r="T65" i="16"/>
  <c r="S65" i="16"/>
  <c r="R65" i="16"/>
  <c r="Q65" i="16"/>
  <c r="Y65" i="16" s="1"/>
  <c r="AA65" i="16" s="1"/>
  <c r="P65" i="16"/>
  <c r="X65" i="16" s="1"/>
  <c r="Z65" i="16" s="1"/>
  <c r="O65" i="16"/>
  <c r="N65" i="16"/>
  <c r="L65" i="16"/>
  <c r="H65" i="16"/>
  <c r="AD64" i="16"/>
  <c r="X64" i="16"/>
  <c r="Z64" i="16" s="1"/>
  <c r="W64" i="16"/>
  <c r="U64" i="16"/>
  <c r="S64" i="16"/>
  <c r="R64" i="16"/>
  <c r="T64" i="16" s="1"/>
  <c r="Q64" i="16"/>
  <c r="Y64" i="16" s="1"/>
  <c r="O64" i="16"/>
  <c r="N64" i="16"/>
  <c r="L64" i="16"/>
  <c r="H64" i="16"/>
  <c r="Q63" i="16"/>
  <c r="Y63" i="16" s="1"/>
  <c r="AA63" i="16" s="1"/>
  <c r="P63" i="16"/>
  <c r="X63" i="16" s="1"/>
  <c r="Z63" i="16" s="1"/>
  <c r="W62" i="16"/>
  <c r="V62" i="16"/>
  <c r="U62" i="16"/>
  <c r="T62" i="16"/>
  <c r="S62" i="16"/>
  <c r="R62" i="16"/>
  <c r="Q62" i="16"/>
  <c r="Y62" i="16" s="1"/>
  <c r="AA62" i="16" s="1"/>
  <c r="P62" i="16"/>
  <c r="X62" i="16" s="1"/>
  <c r="Z62" i="16" s="1"/>
  <c r="O62" i="16"/>
  <c r="N62" i="16"/>
  <c r="L62" i="16"/>
  <c r="H62" i="16"/>
  <c r="R61" i="16"/>
  <c r="Q61" i="16"/>
  <c r="P61" i="16"/>
  <c r="X61" i="16" s="1"/>
  <c r="Z61" i="16" s="1"/>
  <c r="R60" i="16"/>
  <c r="Q60" i="16"/>
  <c r="P60" i="16"/>
  <c r="V59" i="16"/>
  <c r="R59" i="16"/>
  <c r="Q59" i="16"/>
  <c r="P59" i="16"/>
  <c r="O59" i="16"/>
  <c r="N59" i="16"/>
  <c r="M59" i="16"/>
  <c r="L59" i="16"/>
  <c r="H59" i="16"/>
  <c r="G59" i="16"/>
  <c r="AD58" i="16"/>
  <c r="Z58" i="16"/>
  <c r="Q58" i="16"/>
  <c r="O58" i="16"/>
  <c r="N58" i="16"/>
  <c r="L58" i="16"/>
  <c r="H58" i="16"/>
  <c r="AR57" i="16"/>
  <c r="T57" i="16"/>
  <c r="X57" i="16" s="1"/>
  <c r="Z57" i="16" s="1"/>
  <c r="Q57" i="16"/>
  <c r="U57" i="16" s="1"/>
  <c r="T56" i="16"/>
  <c r="S56" i="16"/>
  <c r="U56" i="16" s="1"/>
  <c r="U54" i="16" s="1"/>
  <c r="U53" i="16" s="1"/>
  <c r="R56" i="16"/>
  <c r="P56" i="16"/>
  <c r="X56" i="16" s="1"/>
  <c r="Z56" i="16" s="1"/>
  <c r="Y55" i="16"/>
  <c r="AC55" i="16" s="1"/>
  <c r="AE55" i="16" s="1"/>
  <c r="X55" i="16"/>
  <c r="AB55" i="16" s="1"/>
  <c r="AD55" i="16" s="1"/>
  <c r="X54" i="16"/>
  <c r="Z54" i="16" s="1"/>
  <c r="S54" i="16"/>
  <c r="Q54" i="16"/>
  <c r="O54" i="16"/>
  <c r="N54" i="16"/>
  <c r="L54" i="16"/>
  <c r="H54" i="16"/>
  <c r="AR53" i="16"/>
  <c r="AQ53" i="16"/>
  <c r="AD53" i="16"/>
  <c r="Z53" i="16"/>
  <c r="S53" i="16"/>
  <c r="Q53" i="16"/>
  <c r="O53" i="16"/>
  <c r="N53" i="16"/>
  <c r="L53" i="16"/>
  <c r="H53" i="16"/>
  <c r="X52" i="16"/>
  <c r="Z52" i="16" s="1"/>
  <c r="Q52" i="16"/>
  <c r="Y52" i="16" s="1"/>
  <c r="AA52" i="16" s="1"/>
  <c r="X51" i="16"/>
  <c r="Z51" i="16" s="1"/>
  <c r="S51" i="16"/>
  <c r="AS50" i="16"/>
  <c r="AR50" i="16"/>
  <c r="AQ50" i="16"/>
  <c r="R50" i="16"/>
  <c r="Q50" i="16"/>
  <c r="U50" i="16" s="1"/>
  <c r="AN49" i="16"/>
  <c r="T49" i="16"/>
  <c r="T50" i="16" s="1"/>
  <c r="T48" i="16" s="1"/>
  <c r="S49" i="16"/>
  <c r="R49" i="16"/>
  <c r="P49" i="16"/>
  <c r="X49" i="16" s="1"/>
  <c r="AT48" i="16"/>
  <c r="AT50" i="16" s="1"/>
  <c r="V48" i="16"/>
  <c r="S48" i="16"/>
  <c r="R48" i="16"/>
  <c r="Q48" i="16"/>
  <c r="P48" i="16"/>
  <c r="O48" i="16"/>
  <c r="N48" i="16"/>
  <c r="M48" i="16"/>
  <c r="L48" i="16"/>
  <c r="K48" i="16"/>
  <c r="H48" i="16"/>
  <c r="G48" i="16"/>
  <c r="S47" i="16"/>
  <c r="Q47" i="16"/>
  <c r="O47" i="16"/>
  <c r="N47" i="16"/>
  <c r="L47" i="16"/>
  <c r="H47" i="16"/>
  <c r="R46" i="16"/>
  <c r="Q46" i="16"/>
  <c r="S46" i="16" s="1"/>
  <c r="P46" i="16"/>
  <c r="R45" i="16"/>
  <c r="Q45" i="16"/>
  <c r="P45" i="16"/>
  <c r="R44" i="16"/>
  <c r="Q44" i="16"/>
  <c r="P44" i="16"/>
  <c r="T43" i="16"/>
  <c r="X43" i="16" s="1"/>
  <c r="S43" i="16"/>
  <c r="Q43" i="16"/>
  <c r="P43" i="16"/>
  <c r="X42" i="16"/>
  <c r="Z42" i="16" s="1"/>
  <c r="R42" i="16"/>
  <c r="Q42" i="16"/>
  <c r="P42" i="16"/>
  <c r="T42" i="16" s="1"/>
  <c r="R41" i="16"/>
  <c r="Q41" i="16"/>
  <c r="P41" i="16"/>
  <c r="T41" i="16" s="1"/>
  <c r="R40" i="16"/>
  <c r="R38" i="16" s="1"/>
  <c r="Q40" i="16"/>
  <c r="P40" i="16"/>
  <c r="T40" i="16" s="1"/>
  <c r="AG39" i="16"/>
  <c r="X39" i="16"/>
  <c r="Z39" i="16" s="1"/>
  <c r="R39" i="16"/>
  <c r="Q39" i="16"/>
  <c r="P39" i="16"/>
  <c r="T39" i="16" s="1"/>
  <c r="M39" i="16"/>
  <c r="M38" i="16" s="1"/>
  <c r="V38" i="16"/>
  <c r="P38" i="16"/>
  <c r="O38" i="16"/>
  <c r="N38" i="16"/>
  <c r="L38" i="16"/>
  <c r="L37" i="16" s="1"/>
  <c r="K38" i="16"/>
  <c r="H38" i="16"/>
  <c r="G38" i="16"/>
  <c r="AB37" i="16"/>
  <c r="AD37" i="16" s="1"/>
  <c r="Z37" i="16"/>
  <c r="O37" i="16"/>
  <c r="N37" i="16"/>
  <c r="H37" i="16"/>
  <c r="T36" i="16"/>
  <c r="X36" i="16" s="1"/>
  <c r="S36" i="16"/>
  <c r="U36" i="16" s="1"/>
  <c r="V35" i="16"/>
  <c r="V32" i="16" s="1"/>
  <c r="X32" i="16" s="1"/>
  <c r="S35" i="16"/>
  <c r="AB34" i="16"/>
  <c r="Z34" i="16"/>
  <c r="U34" i="16"/>
  <c r="S34" i="16"/>
  <c r="AO33" i="16"/>
  <c r="AG33" i="16"/>
  <c r="T33" i="16"/>
  <c r="S33" i="16"/>
  <c r="R33" i="16"/>
  <c r="Q33" i="16"/>
  <c r="P33" i="16"/>
  <c r="X33" i="16" s="1"/>
  <c r="Z33" i="16" s="1"/>
  <c r="O33" i="16"/>
  <c r="N33" i="16"/>
  <c r="M33" i="16"/>
  <c r="L33" i="16"/>
  <c r="K33" i="16"/>
  <c r="H33" i="16"/>
  <c r="G33" i="16"/>
  <c r="AD32" i="16"/>
  <c r="T32" i="16"/>
  <c r="S32" i="16"/>
  <c r="R32" i="16"/>
  <c r="Q32" i="16"/>
  <c r="P32" i="16"/>
  <c r="O32" i="16"/>
  <c r="N32" i="16"/>
  <c r="L32" i="16"/>
  <c r="I32" i="16"/>
  <c r="H32" i="16"/>
  <c r="X31" i="16"/>
  <c r="U31" i="16"/>
  <c r="Y31" i="16" s="1"/>
  <c r="AA31" i="16" s="1"/>
  <c r="S31" i="16"/>
  <c r="X30" i="16"/>
  <c r="S30" i="16"/>
  <c r="Z29" i="16"/>
  <c r="X29" i="16"/>
  <c r="Q29" i="16"/>
  <c r="O29" i="16"/>
  <c r="N29" i="16"/>
  <c r="L29" i="16"/>
  <c r="H29" i="16"/>
  <c r="U28" i="16"/>
  <c r="S28" i="16"/>
  <c r="R28" i="16"/>
  <c r="P28" i="16"/>
  <c r="X27" i="16"/>
  <c r="Z27" i="16" s="1"/>
  <c r="S27" i="16"/>
  <c r="X26" i="16"/>
  <c r="U26" i="16"/>
  <c r="W26" i="16" s="1"/>
  <c r="Y26" i="16" s="1"/>
  <c r="AA26" i="16" s="1"/>
  <c r="S26" i="16"/>
  <c r="S25" i="16"/>
  <c r="X24" i="16"/>
  <c r="Z24" i="16" s="1"/>
  <c r="S24" i="16"/>
  <c r="Q24" i="16"/>
  <c r="O24" i="16"/>
  <c r="O20" i="16" s="1"/>
  <c r="N24" i="16"/>
  <c r="L24" i="16"/>
  <c r="H24" i="16"/>
  <c r="X23" i="16"/>
  <c r="AB23" i="16" s="1"/>
  <c r="Q23" i="16"/>
  <c r="Y23" i="16" s="1"/>
  <c r="AA23" i="16" s="1"/>
  <c r="X22" i="16"/>
  <c r="X21" i="16" s="1"/>
  <c r="AB21" i="16" s="1"/>
  <c r="Q22" i="16"/>
  <c r="W21" i="16"/>
  <c r="V21" i="16"/>
  <c r="U21" i="16"/>
  <c r="T21" i="16"/>
  <c r="R21" i="16"/>
  <c r="Q21" i="16"/>
  <c r="O21" i="16"/>
  <c r="N21" i="16"/>
  <c r="M21" i="16"/>
  <c r="L21" i="16"/>
  <c r="L20" i="16" s="1"/>
  <c r="K21" i="16"/>
  <c r="H21" i="16"/>
  <c r="G21" i="16"/>
  <c r="AD20" i="16"/>
  <c r="X20" i="16"/>
  <c r="Z20" i="16" s="1"/>
  <c r="Q20" i="16"/>
  <c r="N20" i="16"/>
  <c r="H20" i="16"/>
  <c r="R19" i="16"/>
  <c r="Q19" i="16"/>
  <c r="P19" i="16"/>
  <c r="X19" i="16" s="1"/>
  <c r="Z19" i="16" s="1"/>
  <c r="M19" i="16"/>
  <c r="AO18" i="16"/>
  <c r="X18" i="16"/>
  <c r="Z18" i="16" s="1"/>
  <c r="R18" i="16"/>
  <c r="Q18" i="16"/>
  <c r="P18" i="16"/>
  <c r="T17" i="16"/>
  <c r="S17" i="16"/>
  <c r="U17" i="16" s="1"/>
  <c r="R17" i="16"/>
  <c r="P17" i="16"/>
  <c r="X17" i="16" s="1"/>
  <c r="Z17" i="16" s="1"/>
  <c r="AO16" i="16"/>
  <c r="T16" i="16"/>
  <c r="S16" i="16"/>
  <c r="R16" i="16"/>
  <c r="P16" i="16"/>
  <c r="X16" i="16" s="1"/>
  <c r="G16" i="16"/>
  <c r="V15" i="16"/>
  <c r="T15" i="16"/>
  <c r="R15" i="16"/>
  <c r="P15" i="16"/>
  <c r="O15" i="16"/>
  <c r="N15" i="16"/>
  <c r="M15" i="16"/>
  <c r="L15" i="16"/>
  <c r="K15" i="16"/>
  <c r="H15" i="16"/>
  <c r="G15" i="16"/>
  <c r="Z14" i="16"/>
  <c r="U14" i="16"/>
  <c r="Y14" i="16" s="1"/>
  <c r="S14" i="16"/>
  <c r="W13" i="16" s="1"/>
  <c r="Z13" i="16"/>
  <c r="X13" i="16"/>
  <c r="V13" i="16"/>
  <c r="U13" i="16"/>
  <c r="T13" i="16"/>
  <c r="S13" i="16"/>
  <c r="R13" i="16"/>
  <c r="Q13" i="16"/>
  <c r="P13" i="16"/>
  <c r="O13" i="16"/>
  <c r="O9" i="16" s="1"/>
  <c r="O67" i="16" s="1"/>
  <c r="N13" i="16"/>
  <c r="M13" i="16"/>
  <c r="L13" i="16"/>
  <c r="H13" i="16"/>
  <c r="G13" i="16"/>
  <c r="X12" i="16"/>
  <c r="Z12" i="16" s="1"/>
  <c r="S12" i="16"/>
  <c r="U12" i="16" s="1"/>
  <c r="X11" i="16"/>
  <c r="Z11" i="16" s="1"/>
  <c r="Z10" i="16" s="1"/>
  <c r="U11" i="16"/>
  <c r="U10" i="16" s="1"/>
  <c r="S11" i="16"/>
  <c r="AK10" i="16"/>
  <c r="X10" i="16"/>
  <c r="V10" i="16"/>
  <c r="T10" i="16"/>
  <c r="R10" i="16"/>
  <c r="Q10" i="16"/>
  <c r="P10" i="16"/>
  <c r="O10" i="16"/>
  <c r="N10" i="16"/>
  <c r="M10" i="16"/>
  <c r="L10" i="16"/>
  <c r="L9" i="16" s="1"/>
  <c r="L67" i="16" s="1"/>
  <c r="K10" i="16"/>
  <c r="H10" i="16"/>
  <c r="G10" i="16"/>
  <c r="AD9" i="16"/>
  <c r="X9" i="16"/>
  <c r="Z9" i="16" s="1"/>
  <c r="N9" i="16"/>
  <c r="N67" i="16" s="1"/>
  <c r="H9" i="16"/>
  <c r="H67" i="16" s="1"/>
  <c r="AL7" i="16"/>
  <c r="W17" i="16" l="1"/>
  <c r="Y17" i="16" s="1"/>
  <c r="AA17" i="16" s="1"/>
  <c r="AA14" i="16"/>
  <c r="Y13" i="16"/>
  <c r="AA13" i="16" s="1"/>
  <c r="Z16" i="16"/>
  <c r="Z15" i="16" s="1"/>
  <c r="X15" i="16"/>
  <c r="AB15" i="16" s="1"/>
  <c r="AB25" i="16"/>
  <c r="Z25" i="16"/>
  <c r="AB30" i="16"/>
  <c r="Z30" i="16"/>
  <c r="AB43" i="16"/>
  <c r="Z43" i="16"/>
  <c r="Y12" i="16"/>
  <c r="AA12" i="16" s="1"/>
  <c r="U16" i="16"/>
  <c r="Y16" i="16" s="1"/>
  <c r="U18" i="16"/>
  <c r="Y18" i="16" s="1"/>
  <c r="AA18" i="16" s="1"/>
  <c r="Z22" i="16"/>
  <c r="AB22" i="16"/>
  <c r="Z23" i="16"/>
  <c r="AB26" i="16"/>
  <c r="Z26" i="16"/>
  <c r="W27" i="16"/>
  <c r="U27" i="16"/>
  <c r="Y27" i="16" s="1"/>
  <c r="AA27" i="16" s="1"/>
  <c r="AB27" i="16"/>
  <c r="Y28" i="16"/>
  <c r="AA28" i="16" s="1"/>
  <c r="AB31" i="16"/>
  <c r="Z31" i="16"/>
  <c r="W36" i="16"/>
  <c r="Y36" i="16" s="1"/>
  <c r="AA36" i="16" s="1"/>
  <c r="Q38" i="16"/>
  <c r="Q37" i="16" s="1"/>
  <c r="S39" i="16"/>
  <c r="AB39" i="16"/>
  <c r="X40" i="16"/>
  <c r="X41" i="16"/>
  <c r="S42" i="16"/>
  <c r="AB42" i="16"/>
  <c r="Y43" i="16"/>
  <c r="AA43" i="16" s="1"/>
  <c r="X50" i="16"/>
  <c r="Z50" i="16" s="1"/>
  <c r="AU50" i="16"/>
  <c r="AU51" i="16" s="1"/>
  <c r="AR52" i="16" s="1"/>
  <c r="S10" i="16"/>
  <c r="W11" i="16"/>
  <c r="W10" i="16" s="1"/>
  <c r="Q15" i="16"/>
  <c r="Q9" i="16" s="1"/>
  <c r="W18" i="16"/>
  <c r="S19" i="16"/>
  <c r="U19" i="16" s="1"/>
  <c r="S22" i="16"/>
  <c r="S21" i="16" s="1"/>
  <c r="W25" i="16"/>
  <c r="W24" i="16" s="1"/>
  <c r="U25" i="16"/>
  <c r="U24" i="16" s="1"/>
  <c r="X28" i="16"/>
  <c r="W29" i="16"/>
  <c r="U30" i="16"/>
  <c r="U29" i="16" s="1"/>
  <c r="S29" i="16"/>
  <c r="Z32" i="16"/>
  <c r="U35" i="16"/>
  <c r="U33" i="16" s="1"/>
  <c r="U32" i="16" s="1"/>
  <c r="X35" i="16"/>
  <c r="AB36" i="16"/>
  <c r="Z36" i="16"/>
  <c r="U39" i="16"/>
  <c r="T44" i="16"/>
  <c r="T38" i="16" s="1"/>
  <c r="S40" i="16"/>
  <c r="Y40" i="16" s="1"/>
  <c r="AA40" i="16" s="1"/>
  <c r="U40" i="16"/>
  <c r="S41" i="16"/>
  <c r="U41" i="16"/>
  <c r="Y41" i="16" s="1"/>
  <c r="AA41" i="16" s="1"/>
  <c r="X45" i="16"/>
  <c r="Z45" i="16" s="1"/>
  <c r="V47" i="16"/>
  <c r="Z49" i="16"/>
  <c r="X48" i="16"/>
  <c r="Z48" i="16" s="1"/>
  <c r="AQ54" i="16"/>
  <c r="AA64" i="16"/>
  <c r="AC64" i="16"/>
  <c r="AE64" i="16" s="1"/>
  <c r="T45" i="16"/>
  <c r="T46" i="16"/>
  <c r="X46" i="16" s="1"/>
  <c r="W46" i="16"/>
  <c r="Y46" i="16"/>
  <c r="AA46" i="16" s="1"/>
  <c r="P47" i="16"/>
  <c r="R47" i="16"/>
  <c r="U49" i="16"/>
  <c r="Y50" i="16"/>
  <c r="AA50" i="16" s="1"/>
  <c r="AQ52" i="16"/>
  <c r="AA55" i="16"/>
  <c r="Y56" i="16"/>
  <c r="AA56" i="16" s="1"/>
  <c r="Y57" i="16"/>
  <c r="AA57" i="16" s="1"/>
  <c r="T60" i="16"/>
  <c r="T59" i="16" s="1"/>
  <c r="X59" i="16" s="1"/>
  <c r="Z59" i="16" s="1"/>
  <c r="S44" i="16"/>
  <c r="S45" i="16"/>
  <c r="Y45" i="16" s="1"/>
  <c r="AA45" i="16" s="1"/>
  <c r="W45" i="16"/>
  <c r="U51" i="16"/>
  <c r="Y51" i="16" s="1"/>
  <c r="AA51" i="16" s="1"/>
  <c r="Z55" i="16"/>
  <c r="S60" i="16"/>
  <c r="S59" i="16" s="1"/>
  <c r="S58" i="16" s="1"/>
  <c r="W59" i="16"/>
  <c r="W58" i="16" s="1"/>
  <c r="W20" i="16" l="1"/>
  <c r="AB46" i="16"/>
  <c r="Z46" i="16"/>
  <c r="AA16" i="16"/>
  <c r="U44" i="16"/>
  <c r="W44" i="16" s="1"/>
  <c r="U48" i="16"/>
  <c r="U47" i="16" s="1"/>
  <c r="U60" i="16"/>
  <c r="U59" i="16" s="1"/>
  <c r="U58" i="16" s="1"/>
  <c r="Y58" i="16" s="1"/>
  <c r="X44" i="16"/>
  <c r="Z44" i="16" s="1"/>
  <c r="AB35" i="16"/>
  <c r="Z35" i="16"/>
  <c r="W33" i="16"/>
  <c r="W32" i="16" s="1"/>
  <c r="Y32" i="16" s="1"/>
  <c r="Y30" i="16"/>
  <c r="U20" i="16"/>
  <c r="Y25" i="16"/>
  <c r="W19" i="16"/>
  <c r="Y19" i="16" s="1"/>
  <c r="S15" i="16"/>
  <c r="AR54" i="16"/>
  <c r="AU54" i="16" s="1"/>
  <c r="W42" i="16"/>
  <c r="Y42" i="16" s="1"/>
  <c r="AA42" i="16" s="1"/>
  <c r="Z41" i="16"/>
  <c r="AB41" i="16"/>
  <c r="Y22" i="16"/>
  <c r="W54" i="16"/>
  <c r="W48" i="16"/>
  <c r="W47" i="16" s="1"/>
  <c r="AS53" i="16"/>
  <c r="AS54" i="16" s="1"/>
  <c r="AS52" i="16"/>
  <c r="AU52" i="16" s="1"/>
  <c r="X60" i="16"/>
  <c r="Z60" i="16" s="1"/>
  <c r="Y61" i="16"/>
  <c r="AA61" i="16" s="1"/>
  <c r="Y59" i="16"/>
  <c r="AA59" i="16" s="1"/>
  <c r="Y49" i="16"/>
  <c r="U38" i="16"/>
  <c r="U37" i="16" s="1"/>
  <c r="Y35" i="16"/>
  <c r="AA35" i="16" s="1"/>
  <c r="AB28" i="16"/>
  <c r="Z28" i="16"/>
  <c r="S20" i="16"/>
  <c r="Y20" i="16" s="1"/>
  <c r="W15" i="16"/>
  <c r="W9" i="16" s="1"/>
  <c r="Q67" i="16"/>
  <c r="S9" i="16"/>
  <c r="T47" i="16"/>
  <c r="X47" i="16" s="1"/>
  <c r="Z40" i="16"/>
  <c r="X38" i="16"/>
  <c r="Z38" i="16" s="1"/>
  <c r="S38" i="16"/>
  <c r="S37" i="16" s="1"/>
  <c r="W39" i="16"/>
  <c r="W38" i="16" s="1"/>
  <c r="W37" i="16" s="1"/>
  <c r="Z21" i="16"/>
  <c r="U15" i="16"/>
  <c r="U9" i="16" s="1"/>
  <c r="U67" i="16" s="1"/>
  <c r="Y34" i="16"/>
  <c r="Y11" i="16"/>
  <c r="Y37" i="16" l="1"/>
  <c r="AB47" i="16"/>
  <c r="AD47" i="16" s="1"/>
  <c r="Z47" i="16"/>
  <c r="AC58" i="16"/>
  <c r="AE58" i="16" s="1"/>
  <c r="AA58" i="16"/>
  <c r="AC37" i="16"/>
  <c r="AE37" i="16" s="1"/>
  <c r="AA37" i="16"/>
  <c r="AA19" i="16"/>
  <c r="Y15" i="16"/>
  <c r="AA15" i="16" s="1"/>
  <c r="AC32" i="16"/>
  <c r="AE32" i="16" s="1"/>
  <c r="AA32" i="16"/>
  <c r="AA11" i="16"/>
  <c r="Y10" i="16"/>
  <c r="AA10" i="16" s="1"/>
  <c r="Y9" i="16"/>
  <c r="AA49" i="16"/>
  <c r="Y48" i="16"/>
  <c r="AA48" i="16" s="1"/>
  <c r="W53" i="16"/>
  <c r="Y53" i="16" s="1"/>
  <c r="Y54" i="16"/>
  <c r="AA54" i="16" s="1"/>
  <c r="AA22" i="16"/>
  <c r="Y21" i="16"/>
  <c r="AA21" i="16" s="1"/>
  <c r="Y47" i="16"/>
  <c r="Y39" i="16"/>
  <c r="Y44" i="16"/>
  <c r="AA44" i="16" s="1"/>
  <c r="AA34" i="16"/>
  <c r="Y33" i="16"/>
  <c r="AA33" i="16" s="1"/>
  <c r="S67" i="16"/>
  <c r="AA20" i="16"/>
  <c r="AC20" i="16"/>
  <c r="AE20" i="16" s="1"/>
  <c r="AA25" i="16"/>
  <c r="Y24" i="16"/>
  <c r="AA24" i="16" s="1"/>
  <c r="AA30" i="16"/>
  <c r="Y29" i="16"/>
  <c r="AA29" i="16" s="1"/>
  <c r="Y60" i="16"/>
  <c r="AA60" i="16" s="1"/>
  <c r="AA39" i="16" l="1"/>
  <c r="Y38" i="16"/>
  <c r="AA38" i="16" s="1"/>
  <c r="Y67" i="16"/>
  <c r="AA9" i="16"/>
  <c r="AC9" i="16"/>
  <c r="AE9" i="16" s="1"/>
  <c r="AC47" i="16"/>
  <c r="AE47" i="16" s="1"/>
  <c r="AA47" i="16"/>
  <c r="AC53" i="16"/>
  <c r="AE53" i="16" s="1"/>
  <c r="AA53" i="16"/>
  <c r="W67" i="16"/>
  <c r="Y68" i="16" l="1"/>
  <c r="AA67" i="16"/>
  <c r="AC67" i="16"/>
  <c r="Y51" i="4" l="1"/>
  <c r="X58" i="4" l="1"/>
  <c r="R79" i="5" l="1"/>
  <c r="Y12" i="4" l="1"/>
  <c r="Y58" i="4"/>
  <c r="Y59" i="4"/>
  <c r="Y60" i="4"/>
  <c r="Y70" i="4"/>
  <c r="Y77" i="4"/>
  <c r="Y85" i="4"/>
  <c r="Y98" i="4"/>
  <c r="Y99" i="4"/>
  <c r="Y103" i="4"/>
  <c r="Y104" i="4"/>
  <c r="Y110" i="4"/>
  <c r="Y20" i="4"/>
  <c r="Y29" i="4"/>
  <c r="Y32" i="4"/>
  <c r="Y37" i="4"/>
  <c r="Y41" i="4"/>
  <c r="W100" i="4" l="1"/>
  <c r="X100" i="4"/>
  <c r="V100" i="4"/>
  <c r="X50" i="4"/>
  <c r="Y50" i="4" s="1"/>
  <c r="W52" i="4"/>
  <c r="X52" i="4"/>
  <c r="V52" i="4"/>
  <c r="W46" i="4"/>
  <c r="X46" i="4"/>
  <c r="V46" i="4"/>
  <c r="T98" i="5"/>
  <c r="U98" i="5"/>
  <c r="V98" i="5"/>
  <c r="W98" i="5"/>
  <c r="S59" i="5"/>
  <c r="Y59" i="5" s="1"/>
  <c r="S52" i="5"/>
  <c r="Y50" i="5"/>
  <c r="Y51" i="5"/>
  <c r="S46" i="5"/>
  <c r="Y46" i="5" s="1"/>
  <c r="Y47" i="5"/>
  <c r="Y48" i="5"/>
  <c r="Y49" i="5"/>
  <c r="Y53" i="5"/>
  <c r="Y54" i="5"/>
  <c r="Y55" i="5"/>
  <c r="Y56" i="5"/>
  <c r="Y57" i="5"/>
  <c r="Y58" i="5"/>
  <c r="Y40" i="5"/>
  <c r="S38" i="5"/>
  <c r="S31" i="5"/>
  <c r="Y31" i="5" s="1"/>
  <c r="S30" i="5"/>
  <c r="Y30" i="5" s="1"/>
  <c r="S28" i="5"/>
  <c r="Y28" i="5" s="1"/>
  <c r="O44" i="5"/>
  <c r="O10" i="5"/>
  <c r="O15" i="5"/>
  <c r="O23" i="5"/>
  <c r="O29" i="5"/>
  <c r="O37" i="5"/>
  <c r="O62" i="5"/>
  <c r="O61" i="5"/>
  <c r="O43" i="5"/>
  <c r="N44" i="5"/>
  <c r="O63" i="5"/>
  <c r="N63" i="5"/>
  <c r="O72" i="5"/>
  <c r="N72" i="5"/>
  <c r="O85" i="5"/>
  <c r="N85" i="5"/>
  <c r="O84" i="5"/>
  <c r="O95" i="5"/>
  <c r="O94" i="5" s="1"/>
  <c r="Z90" i="5"/>
  <c r="Z91" i="5"/>
  <c r="Y88" i="5"/>
  <c r="AA88" i="5" s="1"/>
  <c r="X88" i="5"/>
  <c r="Z88" i="5" s="1"/>
  <c r="Y90" i="5"/>
  <c r="AA90" i="5" s="1"/>
  <c r="Y91" i="5"/>
  <c r="AA91" i="5" s="1"/>
  <c r="O60" i="5" l="1"/>
  <c r="Y52" i="4"/>
  <c r="Y100" i="4"/>
  <c r="R60" i="5"/>
  <c r="AO61" i="5"/>
  <c r="Y66" i="5" l="1"/>
  <c r="S76" i="5"/>
  <c r="S73" i="5"/>
  <c r="Y70" i="5"/>
  <c r="R44" i="5"/>
  <c r="Y26" i="5"/>
  <c r="S26" i="5" s="1"/>
  <c r="Y24" i="5"/>
  <c r="S24" i="5" s="1"/>
  <c r="S16" i="5"/>
  <c r="W69" i="4"/>
  <c r="W109" i="4"/>
  <c r="X109" i="4"/>
  <c r="V109" i="4"/>
  <c r="W107" i="4"/>
  <c r="X107" i="4"/>
  <c r="V107" i="4"/>
  <c r="W94" i="4"/>
  <c r="X94" i="4"/>
  <c r="V94" i="4"/>
  <c r="W92" i="4"/>
  <c r="X92" i="4"/>
  <c r="V92" i="4"/>
  <c r="W90" i="4"/>
  <c r="X90" i="4"/>
  <c r="V90" i="4"/>
  <c r="W71" i="4"/>
  <c r="X71" i="4"/>
  <c r="V71" i="4"/>
  <c r="X69" i="4"/>
  <c r="V69" i="4"/>
  <c r="W67" i="4"/>
  <c r="X67" i="4"/>
  <c r="V67" i="4"/>
  <c r="W65" i="4"/>
  <c r="X65" i="4"/>
  <c r="V65" i="4"/>
  <c r="W79" i="4"/>
  <c r="X79" i="4"/>
  <c r="V79" i="4"/>
  <c r="W81" i="4"/>
  <c r="X81" i="4"/>
  <c r="V81" i="4"/>
  <c r="W83" i="4"/>
  <c r="X83" i="4"/>
  <c r="V83" i="4"/>
  <c r="W86" i="4"/>
  <c r="X86" i="4"/>
  <c r="V86" i="4"/>
  <c r="W74" i="4"/>
  <c r="X74" i="4"/>
  <c r="V74" i="4"/>
  <c r="W61" i="4"/>
  <c r="X61" i="4"/>
  <c r="V61" i="4"/>
  <c r="W48" i="4"/>
  <c r="X48" i="4"/>
  <c r="V48" i="4"/>
  <c r="W44" i="4"/>
  <c r="X44" i="4"/>
  <c r="V44" i="4"/>
  <c r="W97" i="4"/>
  <c r="X97" i="4"/>
  <c r="V97" i="4"/>
  <c r="W40" i="4"/>
  <c r="X40" i="4"/>
  <c r="V40" i="4"/>
  <c r="W38" i="4"/>
  <c r="X38" i="4"/>
  <c r="V38" i="4"/>
  <c r="W36" i="4"/>
  <c r="X36" i="4"/>
  <c r="V36" i="4"/>
  <c r="W33" i="4"/>
  <c r="X33" i="4"/>
  <c r="V33" i="4"/>
  <c r="W31" i="4"/>
  <c r="X31" i="4"/>
  <c r="V31" i="4"/>
  <c r="W28" i="4"/>
  <c r="X28" i="4"/>
  <c r="V28" i="4"/>
  <c r="W26" i="4"/>
  <c r="X26" i="4"/>
  <c r="V26" i="4"/>
  <c r="W24" i="4"/>
  <c r="X24" i="4"/>
  <c r="V24" i="4"/>
  <c r="X22" i="4"/>
  <c r="W22" i="4"/>
  <c r="V22" i="4"/>
  <c r="W19" i="4"/>
  <c r="X19" i="4"/>
  <c r="V19" i="4"/>
  <c r="V18" i="4" s="1"/>
  <c r="X13" i="4"/>
  <c r="W16" i="4"/>
  <c r="X16" i="4"/>
  <c r="W13" i="4"/>
  <c r="V16" i="4"/>
  <c r="V13" i="4"/>
  <c r="R72" i="5"/>
  <c r="R63" i="5"/>
  <c r="AO80" i="5"/>
  <c r="R80" i="5"/>
  <c r="AN62" i="5"/>
  <c r="Y28" i="4" l="1"/>
  <c r="Y83" i="4"/>
  <c r="Y109" i="4"/>
  <c r="Y48" i="4"/>
  <c r="Y97" i="4"/>
  <c r="Y74" i="4"/>
  <c r="Y36" i="4"/>
  <c r="Y31" i="4"/>
  <c r="Y40" i="4"/>
  <c r="Y69" i="4"/>
  <c r="X18" i="4"/>
  <c r="Y19" i="4"/>
  <c r="V96" i="4"/>
  <c r="W106" i="4"/>
  <c r="W105" i="4" s="1"/>
  <c r="X96" i="4"/>
  <c r="V43" i="4"/>
  <c r="V42" i="4" s="1"/>
  <c r="W78" i="4"/>
  <c r="V64" i="4"/>
  <c r="X89" i="4"/>
  <c r="V106" i="4"/>
  <c r="V105" i="4" s="1"/>
  <c r="W12" i="4"/>
  <c r="X43" i="4"/>
  <c r="X106" i="4"/>
  <c r="W43" i="4"/>
  <c r="W42" i="4" s="1"/>
  <c r="V78" i="4"/>
  <c r="X78" i="4"/>
  <c r="W30" i="4"/>
  <c r="W96" i="4"/>
  <c r="V89" i="4"/>
  <c r="X30" i="4"/>
  <c r="X64" i="4"/>
  <c r="W89" i="4"/>
  <c r="W64" i="4"/>
  <c r="V30" i="4"/>
  <c r="W21" i="4"/>
  <c r="X35" i="4"/>
  <c r="V12" i="4"/>
  <c r="V35" i="4"/>
  <c r="X12" i="4"/>
  <c r="V21" i="4"/>
  <c r="X21" i="4"/>
  <c r="Y21" i="4" s="1"/>
  <c r="W18" i="4"/>
  <c r="W35" i="4"/>
  <c r="V63" i="4" l="1"/>
  <c r="Y89" i="4"/>
  <c r="Y96" i="4"/>
  <c r="Y64" i="4"/>
  <c r="X105" i="4"/>
  <c r="Y105" i="4" s="1"/>
  <c r="Y106" i="4"/>
  <c r="Y30" i="4"/>
  <c r="Y78" i="4"/>
  <c r="Y35" i="4"/>
  <c r="Y18" i="4"/>
  <c r="X42" i="4"/>
  <c r="Y42" i="4" s="1"/>
  <c r="Y43" i="4"/>
  <c r="X88" i="4"/>
  <c r="V88" i="4"/>
  <c r="X63" i="4"/>
  <c r="W88" i="4"/>
  <c r="W63" i="4"/>
  <c r="V11" i="4"/>
  <c r="W11" i="4"/>
  <c r="X11" i="4"/>
  <c r="Y11" i="4" l="1"/>
  <c r="V10" i="4"/>
  <c r="Y63" i="4"/>
  <c r="Y88" i="4"/>
  <c r="X10" i="4"/>
  <c r="W10" i="4"/>
  <c r="Y10" i="4" l="1"/>
  <c r="Y97" i="5"/>
  <c r="AA97" i="5" s="1"/>
  <c r="X97" i="5"/>
  <c r="Z97" i="5" s="1"/>
  <c r="Y96" i="5"/>
  <c r="P96" i="5"/>
  <c r="X96" i="5" s="1"/>
  <c r="Z96" i="5" s="1"/>
  <c r="J96" i="5"/>
  <c r="I96" i="5"/>
  <c r="S95" i="5"/>
  <c r="S94" i="5" s="1"/>
  <c r="Q95" i="5"/>
  <c r="P95" i="5"/>
  <c r="X95" i="5" s="1"/>
  <c r="Z95" i="5" s="1"/>
  <c r="N95" i="5"/>
  <c r="N94" i="5" s="1"/>
  <c r="L95" i="5"/>
  <c r="L94" i="5" s="1"/>
  <c r="AD94" i="5"/>
  <c r="X94" i="5"/>
  <c r="Z94" i="5" s="1"/>
  <c r="J94" i="5"/>
  <c r="Y89" i="5"/>
  <c r="AA89" i="5" s="1"/>
  <c r="X89" i="5"/>
  <c r="Z89" i="5" s="1"/>
  <c r="Y87" i="5"/>
  <c r="AA87" i="5" s="1"/>
  <c r="X87" i="5"/>
  <c r="Z87" i="5" s="1"/>
  <c r="J87" i="5"/>
  <c r="Y86" i="5"/>
  <c r="AA86" i="5" s="1"/>
  <c r="X86" i="5"/>
  <c r="AB86" i="5" s="1"/>
  <c r="AD86" i="5" s="1"/>
  <c r="J86" i="5"/>
  <c r="S85" i="5"/>
  <c r="S84" i="5" s="1"/>
  <c r="Y84" i="5" s="1"/>
  <c r="Q85" i="5"/>
  <c r="N84" i="5"/>
  <c r="L85" i="5"/>
  <c r="K85" i="5"/>
  <c r="AD84" i="5"/>
  <c r="X84" i="5"/>
  <c r="Z84" i="5" s="1"/>
  <c r="L84" i="5"/>
  <c r="J84" i="5"/>
  <c r="I84" i="5"/>
  <c r="Y83" i="5"/>
  <c r="AA83" i="5" s="1"/>
  <c r="P83" i="5"/>
  <c r="X83" i="5" s="1"/>
  <c r="AB83" i="5" s="1"/>
  <c r="AD83" i="5" s="1"/>
  <c r="Y82" i="5"/>
  <c r="AC82" i="5" s="1"/>
  <c r="AE82" i="5" s="1"/>
  <c r="P82" i="5"/>
  <c r="X82" i="5" s="1"/>
  <c r="Y81" i="5"/>
  <c r="P81" i="5"/>
  <c r="X81" i="5" s="1"/>
  <c r="Z81" i="5" s="1"/>
  <c r="J81" i="5"/>
  <c r="I81" i="5"/>
  <c r="AN80" i="5"/>
  <c r="S80" i="5"/>
  <c r="S79" i="5" s="1"/>
  <c r="Q80" i="5"/>
  <c r="Q79" i="5" s="1"/>
  <c r="O80" i="5"/>
  <c r="N80" i="5"/>
  <c r="M80" i="5"/>
  <c r="L80" i="5"/>
  <c r="K80" i="5"/>
  <c r="O79" i="5"/>
  <c r="N79" i="5"/>
  <c r="L79" i="5"/>
  <c r="J79" i="5"/>
  <c r="I79" i="5"/>
  <c r="P79" i="5" s="1"/>
  <c r="X79" i="5" s="1"/>
  <c r="Y78" i="5"/>
  <c r="AC78" i="5" s="1"/>
  <c r="AE78" i="5" s="1"/>
  <c r="X78" i="5"/>
  <c r="AB78" i="5" s="1"/>
  <c r="AD78" i="5" s="1"/>
  <c r="AB77" i="5"/>
  <c r="AD77" i="5" s="1"/>
  <c r="Z77" i="5"/>
  <c r="Y77" i="5"/>
  <c r="AC77" i="5" s="1"/>
  <c r="AE77" i="5" s="1"/>
  <c r="AE76" i="5"/>
  <c r="AA76" i="5"/>
  <c r="X76" i="5"/>
  <c r="Z76" i="5" s="1"/>
  <c r="J76" i="5"/>
  <c r="I76" i="5"/>
  <c r="AC75" i="5"/>
  <c r="AA75" i="5"/>
  <c r="Y74" i="5"/>
  <c r="AC74" i="5" s="1"/>
  <c r="AE74" i="5" s="1"/>
  <c r="P74" i="5"/>
  <c r="X74" i="5" s="1"/>
  <c r="Z74" i="5" s="1"/>
  <c r="AA73" i="5"/>
  <c r="P73" i="5"/>
  <c r="P72" i="5" s="1"/>
  <c r="J73" i="5"/>
  <c r="I73" i="5"/>
  <c r="S72" i="5"/>
  <c r="Q72" i="5"/>
  <c r="M72" i="5"/>
  <c r="L72" i="5"/>
  <c r="K72" i="5"/>
  <c r="Y71" i="5"/>
  <c r="AC71" i="5" s="1"/>
  <c r="AE71" i="5" s="1"/>
  <c r="P71" i="5"/>
  <c r="X71" i="5" s="1"/>
  <c r="AC70" i="5"/>
  <c r="AE70" i="5" s="1"/>
  <c r="P70" i="5"/>
  <c r="X70" i="5" s="1"/>
  <c r="AB70" i="5" s="1"/>
  <c r="AD70" i="5" s="1"/>
  <c r="Y69" i="5"/>
  <c r="AC69" i="5" s="1"/>
  <c r="AE69" i="5" s="1"/>
  <c r="X69" i="5"/>
  <c r="Z69" i="5" s="1"/>
  <c r="Y68" i="5"/>
  <c r="X68" i="5"/>
  <c r="Z68" i="5" s="1"/>
  <c r="J68" i="5"/>
  <c r="AA67" i="5"/>
  <c r="AA66" i="5"/>
  <c r="X66" i="5"/>
  <c r="AB66" i="5" s="1"/>
  <c r="AD66" i="5" s="1"/>
  <c r="P66" i="5"/>
  <c r="J66" i="5"/>
  <c r="I66" i="5"/>
  <c r="Y65" i="5"/>
  <c r="AA65" i="5" s="1"/>
  <c r="X65" i="5"/>
  <c r="Z65" i="5" s="1"/>
  <c r="AG64" i="5"/>
  <c r="Y64" i="5"/>
  <c r="AA64" i="5" s="1"/>
  <c r="X64" i="5"/>
  <c r="Z64" i="5" s="1"/>
  <c r="J64" i="5"/>
  <c r="I64" i="5"/>
  <c r="S63" i="5"/>
  <c r="Q63" i="5"/>
  <c r="M63" i="5"/>
  <c r="L63" i="5"/>
  <c r="K63" i="5"/>
  <c r="Y62" i="5"/>
  <c r="X62" i="5"/>
  <c r="N62" i="5"/>
  <c r="L62" i="5" s="1"/>
  <c r="J62" i="5"/>
  <c r="I62" i="5"/>
  <c r="H62" i="5"/>
  <c r="AN61" i="5"/>
  <c r="S61" i="5"/>
  <c r="Q61" i="5"/>
  <c r="N61" i="5"/>
  <c r="J61" i="5"/>
  <c r="I61" i="5"/>
  <c r="P61" i="5" s="1"/>
  <c r="X61" i="5" s="1"/>
  <c r="H61" i="5"/>
  <c r="J60" i="5"/>
  <c r="I60" i="5"/>
  <c r="P60" i="5" s="1"/>
  <c r="X60" i="5" s="1"/>
  <c r="Z59" i="5"/>
  <c r="J59" i="5"/>
  <c r="I59" i="5"/>
  <c r="AB59" i="5" s="1"/>
  <c r="AD59" i="5" s="1"/>
  <c r="AC58" i="5"/>
  <c r="AE58" i="5" s="1"/>
  <c r="X58" i="5"/>
  <c r="AC57" i="5"/>
  <c r="AE57" i="5" s="1"/>
  <c r="X57" i="5"/>
  <c r="Z57" i="5" s="1"/>
  <c r="X56" i="5"/>
  <c r="Z56" i="5" s="1"/>
  <c r="J56" i="5"/>
  <c r="AC56" i="5" s="1"/>
  <c r="AE56" i="5" s="1"/>
  <c r="I56" i="5"/>
  <c r="X55" i="5"/>
  <c r="Z55" i="5" s="1"/>
  <c r="J55" i="5"/>
  <c r="I55" i="5"/>
  <c r="H55" i="5"/>
  <c r="X54" i="5"/>
  <c r="J54" i="5"/>
  <c r="I54" i="5"/>
  <c r="AA53" i="5"/>
  <c r="X52" i="5"/>
  <c r="Z52" i="5" s="1"/>
  <c r="J52" i="5"/>
  <c r="I52" i="5"/>
  <c r="AA51" i="5"/>
  <c r="X50" i="5"/>
  <c r="J50" i="5"/>
  <c r="AC50" i="5" s="1"/>
  <c r="AE50" i="5" s="1"/>
  <c r="I50" i="5"/>
  <c r="X49" i="5"/>
  <c r="Z49" i="5" s="1"/>
  <c r="J49" i="5"/>
  <c r="AC49" i="5" s="1"/>
  <c r="AE49" i="5" s="1"/>
  <c r="I49" i="5"/>
  <c r="AA48" i="5"/>
  <c r="X48" i="5"/>
  <c r="J48" i="5"/>
  <c r="AC48" i="5" s="1"/>
  <c r="AE48" i="5" s="1"/>
  <c r="I48" i="5"/>
  <c r="AA47" i="5"/>
  <c r="Z46" i="5"/>
  <c r="J46" i="5"/>
  <c r="I46" i="5"/>
  <c r="AB46" i="5" s="1"/>
  <c r="AD46" i="5" s="1"/>
  <c r="Y45" i="5"/>
  <c r="X45" i="5"/>
  <c r="AB45" i="5" s="1"/>
  <c r="AD45" i="5" s="1"/>
  <c r="J45" i="5"/>
  <c r="AO44" i="5"/>
  <c r="AG44" i="5"/>
  <c r="Q44" i="5"/>
  <c r="P44" i="5"/>
  <c r="M44" i="5"/>
  <c r="L44" i="5"/>
  <c r="K44" i="5"/>
  <c r="Y43" i="5"/>
  <c r="X43" i="5"/>
  <c r="AB43" i="5" s="1"/>
  <c r="AD43" i="5" s="1"/>
  <c r="N43" i="5"/>
  <c r="J43" i="5"/>
  <c r="I43" i="5"/>
  <c r="AD42" i="5"/>
  <c r="Y42" i="5"/>
  <c r="X42" i="5"/>
  <c r="O42" i="5"/>
  <c r="N42" i="5"/>
  <c r="J42" i="5"/>
  <c r="AD41" i="5"/>
  <c r="X41" i="5"/>
  <c r="Z41" i="5" s="1"/>
  <c r="Q41" i="5"/>
  <c r="J41" i="5"/>
  <c r="I41" i="5"/>
  <c r="H41" i="5"/>
  <c r="AA40" i="5"/>
  <c r="P40" i="5"/>
  <c r="X40" i="5" s="1"/>
  <c r="AB40" i="5" s="1"/>
  <c r="AD40" i="5" s="1"/>
  <c r="J40" i="5"/>
  <c r="AC40" i="5" s="1"/>
  <c r="AE40" i="5" s="1"/>
  <c r="AO39" i="5"/>
  <c r="Y39" i="5"/>
  <c r="P39" i="5"/>
  <c r="X39" i="5" s="1"/>
  <c r="Z39" i="5" s="1"/>
  <c r="J39" i="5"/>
  <c r="AO38" i="5"/>
  <c r="P38" i="5"/>
  <c r="J38" i="5"/>
  <c r="Q37" i="5"/>
  <c r="Q32" i="5" s="1"/>
  <c r="N37" i="5"/>
  <c r="M37" i="5"/>
  <c r="L37" i="5"/>
  <c r="K37" i="5"/>
  <c r="Y36" i="5"/>
  <c r="X36" i="5"/>
  <c r="Z36" i="5" s="1"/>
  <c r="J36" i="5"/>
  <c r="I36" i="5"/>
  <c r="Y35" i="5"/>
  <c r="X35" i="5"/>
  <c r="Z35" i="5" s="1"/>
  <c r="J35" i="5"/>
  <c r="Y34" i="5"/>
  <c r="AA34" i="5" s="1"/>
  <c r="X34" i="5"/>
  <c r="AB34" i="5" s="1"/>
  <c r="AD34" i="5" s="1"/>
  <c r="O33" i="5"/>
  <c r="N33" i="5"/>
  <c r="M33" i="5"/>
  <c r="L33" i="5"/>
  <c r="L32" i="5" s="1"/>
  <c r="K33" i="5"/>
  <c r="AD32" i="5"/>
  <c r="X32" i="5"/>
  <c r="Z32" i="5" s="1"/>
  <c r="O32" i="5"/>
  <c r="J32" i="5"/>
  <c r="H32" i="5"/>
  <c r="X31" i="5"/>
  <c r="AB31" i="5" s="1"/>
  <c r="AD31" i="5" s="1"/>
  <c r="J31" i="5"/>
  <c r="AA30" i="5"/>
  <c r="X30" i="5"/>
  <c r="AB30" i="5" s="1"/>
  <c r="AD30" i="5" s="1"/>
  <c r="J30" i="5"/>
  <c r="AC30" i="5" s="1"/>
  <c r="AE30" i="5" s="1"/>
  <c r="X29" i="5"/>
  <c r="Z29" i="5" s="1"/>
  <c r="Q29" i="5"/>
  <c r="N29" i="5"/>
  <c r="L29" i="5"/>
  <c r="X28" i="5"/>
  <c r="Z28" i="5" s="1"/>
  <c r="J28" i="5"/>
  <c r="I28" i="5"/>
  <c r="X27" i="5"/>
  <c r="J27" i="5"/>
  <c r="I27" i="5"/>
  <c r="X26" i="5"/>
  <c r="Z26" i="5" s="1"/>
  <c r="J26" i="5"/>
  <c r="AC26" i="5" s="1"/>
  <c r="AE26" i="5" s="1"/>
  <c r="I26" i="5"/>
  <c r="X25" i="5"/>
  <c r="J25" i="5"/>
  <c r="I25" i="5"/>
  <c r="X24" i="5"/>
  <c r="Z24" i="5" s="1"/>
  <c r="J24" i="5"/>
  <c r="I24" i="5"/>
  <c r="X23" i="5"/>
  <c r="Z23" i="5" s="1"/>
  <c r="Q23" i="5"/>
  <c r="N23" i="5"/>
  <c r="L23" i="5"/>
  <c r="L22" i="5" s="1"/>
  <c r="AJ22" i="5"/>
  <c r="AD22" i="5"/>
  <c r="X22" i="5"/>
  <c r="O22" i="5"/>
  <c r="J22" i="5"/>
  <c r="I22" i="5"/>
  <c r="H22" i="5"/>
  <c r="Y21" i="5"/>
  <c r="X21" i="5"/>
  <c r="J21" i="5"/>
  <c r="I21" i="5"/>
  <c r="AB20" i="5"/>
  <c r="AA20" i="5"/>
  <c r="Y19" i="5"/>
  <c r="X19" i="5"/>
  <c r="J19" i="5"/>
  <c r="I19" i="5"/>
  <c r="O18" i="5"/>
  <c r="N18" i="5"/>
  <c r="N17" i="5" s="1"/>
  <c r="L18" i="5"/>
  <c r="L17" i="5" s="1"/>
  <c r="K18" i="5"/>
  <c r="K17" i="5" s="1"/>
  <c r="Y17" i="5"/>
  <c r="X17" i="5"/>
  <c r="O17" i="5"/>
  <c r="M17" i="5"/>
  <c r="J17" i="5"/>
  <c r="I17" i="5"/>
  <c r="H17" i="5"/>
  <c r="AD16" i="5"/>
  <c r="AA16" i="5"/>
  <c r="X16" i="5"/>
  <c r="X15" i="5" s="1"/>
  <c r="S15" i="5"/>
  <c r="S14" i="5" s="1"/>
  <c r="Q15" i="5"/>
  <c r="Q14" i="5" s="1"/>
  <c r="N15" i="5"/>
  <c r="N14" i="5" s="1"/>
  <c r="M15" i="5"/>
  <c r="L15" i="5"/>
  <c r="L14" i="5" s="1"/>
  <c r="X14" i="5"/>
  <c r="Z14" i="5" s="1"/>
  <c r="O14" i="5"/>
  <c r="J14" i="5"/>
  <c r="Y13" i="5"/>
  <c r="AC13" i="5" s="1"/>
  <c r="AE13" i="5" s="1"/>
  <c r="X13" i="5"/>
  <c r="AB13" i="5" s="1"/>
  <c r="AD13" i="5" s="1"/>
  <c r="N12" i="5"/>
  <c r="Y11" i="5"/>
  <c r="X11" i="5"/>
  <c r="Z11" i="5" s="1"/>
  <c r="N11" i="5"/>
  <c r="J11" i="5"/>
  <c r="I11" i="5"/>
  <c r="H11" i="5"/>
  <c r="H9" i="5" s="1"/>
  <c r="AK10" i="5"/>
  <c r="S10" i="5"/>
  <c r="S9" i="5" s="1"/>
  <c r="Q10" i="5"/>
  <c r="M10" i="5"/>
  <c r="L10" i="5"/>
  <c r="L9" i="5" s="1"/>
  <c r="K10" i="5"/>
  <c r="AD9" i="5"/>
  <c r="X9" i="5"/>
  <c r="Z9" i="5" s="1"/>
  <c r="O9" i="5"/>
  <c r="J9" i="5"/>
  <c r="AL7" i="5"/>
  <c r="N10" i="5" l="1"/>
  <c r="N9" i="5" s="1"/>
  <c r="AB21" i="5"/>
  <c r="AD21" i="5" s="1"/>
  <c r="AB35" i="5"/>
  <c r="AD35" i="5" s="1"/>
  <c r="AC36" i="5"/>
  <c r="AE36" i="5" s="1"/>
  <c r="AC45" i="5"/>
  <c r="AE45" i="5" s="1"/>
  <c r="AB50" i="5"/>
  <c r="AD50" i="5" s="1"/>
  <c r="AC81" i="5"/>
  <c r="AE81" i="5" s="1"/>
  <c r="AC96" i="5"/>
  <c r="AE96" i="5" s="1"/>
  <c r="AC21" i="5"/>
  <c r="AE21" i="5" s="1"/>
  <c r="Z17" i="5"/>
  <c r="AA17" i="5"/>
  <c r="AB19" i="5"/>
  <c r="AD19" i="5" s="1"/>
  <c r="AB27" i="5"/>
  <c r="AD27" i="5" s="1"/>
  <c r="AB54" i="5"/>
  <c r="AD54" i="5" s="1"/>
  <c r="AC68" i="5"/>
  <c r="AE68" i="5" s="1"/>
  <c r="Y94" i="5"/>
  <c r="AC94" i="5" s="1"/>
  <c r="AE94" i="5" s="1"/>
  <c r="AB25" i="5"/>
  <c r="AD25" i="5" s="1"/>
  <c r="AC35" i="5"/>
  <c r="AE35" i="5" s="1"/>
  <c r="Q98" i="5"/>
  <c r="AC11" i="5"/>
  <c r="AE11" i="5" s="1"/>
  <c r="AC39" i="5"/>
  <c r="AE39" i="5" s="1"/>
  <c r="AB48" i="5"/>
  <c r="AD48" i="5" s="1"/>
  <c r="AC43" i="5"/>
  <c r="AE43" i="5" s="1"/>
  <c r="Y95" i="5"/>
  <c r="Q60" i="5"/>
  <c r="Q22" i="5"/>
  <c r="AA21" i="5"/>
  <c r="N32" i="5"/>
  <c r="K32" i="5"/>
  <c r="Q9" i="5"/>
  <c r="Y9" i="5" s="1"/>
  <c r="AA9" i="5" s="1"/>
  <c r="AC17" i="5"/>
  <c r="AE17" i="5" s="1"/>
  <c r="N22" i="5"/>
  <c r="AB55" i="5"/>
  <c r="AD55" i="5" s="1"/>
  <c r="N41" i="5"/>
  <c r="O41" i="5"/>
  <c r="O98" i="5" s="1"/>
  <c r="L42" i="5"/>
  <c r="L41" i="5" s="1"/>
  <c r="AA42" i="5"/>
  <c r="Y18" i="5"/>
  <c r="AA18" i="5" s="1"/>
  <c r="Z16" i="5"/>
  <c r="Z15" i="5" s="1"/>
  <c r="X18" i="5"/>
  <c r="AB18" i="5" s="1"/>
  <c r="AA36" i="5"/>
  <c r="Z13" i="5"/>
  <c r="Z10" i="5" s="1"/>
  <c r="Z34" i="5"/>
  <c r="Z33" i="5" s="1"/>
  <c r="AB28" i="5"/>
  <c r="AD28" i="5" s="1"/>
  <c r="Y33" i="5"/>
  <c r="AA33" i="5" s="1"/>
  <c r="AC34" i="5"/>
  <c r="AE34" i="5" s="1"/>
  <c r="AB24" i="5"/>
  <c r="AD24" i="5" s="1"/>
  <c r="AA43" i="5"/>
  <c r="Z54" i="5"/>
  <c r="Z86" i="5"/>
  <c r="AA19" i="5"/>
  <c r="AB36" i="5"/>
  <c r="AD36" i="5" s="1"/>
  <c r="AB39" i="5"/>
  <c r="AA45" i="5"/>
  <c r="AB57" i="5"/>
  <c r="AD57" i="5" s="1"/>
  <c r="X44" i="5"/>
  <c r="Z44" i="5" s="1"/>
  <c r="AA50" i="5"/>
  <c r="AB17" i="5"/>
  <c r="AD17" i="5" s="1"/>
  <c r="J98" i="5"/>
  <c r="AA82" i="5"/>
  <c r="Y79" i="5"/>
  <c r="AC79" i="5" s="1"/>
  <c r="AE79" i="5" s="1"/>
  <c r="AA81" i="5"/>
  <c r="AA78" i="5"/>
  <c r="Z40" i="5"/>
  <c r="Z66" i="5"/>
  <c r="AB64" i="5"/>
  <c r="AD64" i="5" s="1"/>
  <c r="AB56" i="5"/>
  <c r="AD56" i="5" s="1"/>
  <c r="AB52" i="5"/>
  <c r="AD52" i="5" s="1"/>
  <c r="Z31" i="5"/>
  <c r="AB26" i="5"/>
  <c r="AD26" i="5" s="1"/>
  <c r="AA13" i="5"/>
  <c r="Z83" i="5"/>
  <c r="Z43" i="5"/>
  <c r="AA11" i="5"/>
  <c r="AB11" i="5"/>
  <c r="AD11" i="5" s="1"/>
  <c r="X10" i="5"/>
  <c r="Y14" i="5"/>
  <c r="Z60" i="5"/>
  <c r="AB60" i="5"/>
  <c r="AD60" i="5" s="1"/>
  <c r="AC19" i="5"/>
  <c r="AE19" i="5" s="1"/>
  <c r="AA24" i="5"/>
  <c r="AA26" i="5"/>
  <c r="AC16" i="5"/>
  <c r="AE16" i="5" s="1"/>
  <c r="Z19" i="5"/>
  <c r="Z18" i="5" s="1"/>
  <c r="Z21" i="5"/>
  <c r="Z25" i="5"/>
  <c r="Z27" i="5"/>
  <c r="Z30" i="5"/>
  <c r="X33" i="5"/>
  <c r="X38" i="5"/>
  <c r="P37" i="5"/>
  <c r="AC42" i="5"/>
  <c r="AE42" i="5" s="1"/>
  <c r="Z45" i="5"/>
  <c r="Z48" i="5"/>
  <c r="AB49" i="5"/>
  <c r="AD49" i="5" s="1"/>
  <c r="AC59" i="5"/>
  <c r="AE59" i="5" s="1"/>
  <c r="L61" i="5"/>
  <c r="L60" i="5" s="1"/>
  <c r="N60" i="5"/>
  <c r="Y61" i="5"/>
  <c r="S60" i="5"/>
  <c r="Y60" i="5" s="1"/>
  <c r="AC24" i="5"/>
  <c r="AE24" i="5" s="1"/>
  <c r="Z62" i="5"/>
  <c r="AB62" i="5"/>
  <c r="AD62" i="5" s="1"/>
  <c r="AC84" i="5"/>
  <c r="AE84" i="5" s="1"/>
  <c r="AA84" i="5"/>
  <c r="Y15" i="5"/>
  <c r="AA15" i="5" s="1"/>
  <c r="H98" i="5"/>
  <c r="Y10" i="5"/>
  <c r="AC54" i="5"/>
  <c r="AE54" i="5" s="1"/>
  <c r="AC55" i="5"/>
  <c r="AE55" i="5" s="1"/>
  <c r="AB61" i="5"/>
  <c r="AD61" i="5" s="1"/>
  <c r="Z61" i="5"/>
  <c r="AC62" i="5"/>
  <c r="AE62" i="5" s="1"/>
  <c r="Z70" i="5"/>
  <c r="AB71" i="5"/>
  <c r="AD71" i="5" s="1"/>
  <c r="X63" i="5"/>
  <c r="Z63" i="5" s="1"/>
  <c r="Z71" i="5"/>
  <c r="AB79" i="5"/>
  <c r="AD79" i="5" s="1"/>
  <c r="Z79" i="5"/>
  <c r="AB82" i="5"/>
  <c r="AD82" i="5" s="1"/>
  <c r="X80" i="5"/>
  <c r="Z80" i="5" s="1"/>
  <c r="Z82" i="5"/>
  <c r="Z58" i="5"/>
  <c r="AB58" i="5"/>
  <c r="AD58" i="5" s="1"/>
  <c r="AA35" i="5"/>
  <c r="AA39" i="5"/>
  <c r="Z50" i="5"/>
  <c r="AA59" i="5"/>
  <c r="AA62" i="5"/>
  <c r="AC64" i="5"/>
  <c r="AE64" i="5" s="1"/>
  <c r="AB65" i="5"/>
  <c r="AD65" i="5" s="1"/>
  <c r="AC66" i="5"/>
  <c r="AE66" i="5" s="1"/>
  <c r="AA68" i="5"/>
  <c r="AB69" i="5"/>
  <c r="AD69" i="5" s="1"/>
  <c r="AA70" i="5"/>
  <c r="X73" i="5"/>
  <c r="AA74" i="5"/>
  <c r="Z78" i="5"/>
  <c r="AC83" i="5"/>
  <c r="AE83" i="5" s="1"/>
  <c r="AC86" i="5"/>
  <c r="AE86" i="5" s="1"/>
  <c r="AB87" i="5"/>
  <c r="AD87" i="5" s="1"/>
  <c r="AA96" i="5"/>
  <c r="AC65" i="5"/>
  <c r="AE65" i="5" s="1"/>
  <c r="AB68" i="5"/>
  <c r="AD68" i="5" s="1"/>
  <c r="AC73" i="5"/>
  <c r="AE73" i="5" s="1"/>
  <c r="AB74" i="5"/>
  <c r="AD74" i="5" s="1"/>
  <c r="AB76" i="5"/>
  <c r="AD76" i="5" s="1"/>
  <c r="AB81" i="5"/>
  <c r="AD81" i="5" s="1"/>
  <c r="AC87" i="5"/>
  <c r="AE87" i="5" s="1"/>
  <c r="AA95" i="5"/>
  <c r="AB96" i="5"/>
  <c r="AD96" i="5" s="1"/>
  <c r="P63" i="5"/>
  <c r="Y63" i="5"/>
  <c r="AA63" i="5" s="1"/>
  <c r="Y72" i="5"/>
  <c r="AA72" i="5" s="1"/>
  <c r="Y80" i="5"/>
  <c r="AA80" i="5" s="1"/>
  <c r="X85" i="5"/>
  <c r="Z85" i="5" s="1"/>
  <c r="Y85" i="5"/>
  <c r="AA85" i="5" s="1"/>
  <c r="AA94" i="5" l="1"/>
  <c r="AA79" i="5"/>
  <c r="L98" i="5"/>
  <c r="N98" i="5"/>
  <c r="AC9" i="5"/>
  <c r="AE9" i="5" s="1"/>
  <c r="Z73" i="5"/>
  <c r="X72" i="5"/>
  <c r="Z72" i="5" s="1"/>
  <c r="AA10" i="5"/>
  <c r="AC61" i="5"/>
  <c r="AE61" i="5" s="1"/>
  <c r="AA61" i="5"/>
  <c r="AB73" i="5"/>
  <c r="AD73" i="5" s="1"/>
  <c r="AB38" i="5"/>
  <c r="AD38" i="5" s="1"/>
  <c r="Z38" i="5"/>
  <c r="Z37" i="5" s="1"/>
  <c r="X37" i="5"/>
  <c r="AB37" i="5" s="1"/>
  <c r="AC60" i="5"/>
  <c r="AE60" i="5" s="1"/>
  <c r="AA60" i="5"/>
  <c r="AC14" i="5"/>
  <c r="AA14" i="5"/>
  <c r="D9" i="4" l="1"/>
  <c r="AD107" i="4" l="1"/>
  <c r="A105" i="4"/>
  <c r="AD100" i="4"/>
  <c r="AD97" i="4"/>
  <c r="AD94" i="4"/>
  <c r="AD92" i="4"/>
  <c r="AD90" i="4"/>
  <c r="A88" i="4"/>
  <c r="AD86" i="4"/>
  <c r="AD83" i="4"/>
  <c r="AD81" i="4"/>
  <c r="AD79" i="4"/>
  <c r="AD74" i="4"/>
  <c r="AD71" i="4"/>
  <c r="AD69" i="4"/>
  <c r="AD67" i="4"/>
  <c r="AD65" i="4"/>
  <c r="A63" i="4"/>
  <c r="AD61" i="4"/>
  <c r="AD52" i="4"/>
  <c r="AD48" i="4"/>
  <c r="AD46" i="4"/>
  <c r="AD44" i="4"/>
  <c r="A42" i="4"/>
  <c r="AD40" i="4"/>
  <c r="AD38" i="4"/>
  <c r="AD36" i="4"/>
  <c r="AD33" i="4"/>
  <c r="AD31" i="4"/>
  <c r="AD28" i="4"/>
  <c r="AD26" i="4"/>
  <c r="AD24" i="4"/>
  <c r="AD22" i="4"/>
  <c r="AD19" i="4"/>
  <c r="AD16" i="4"/>
  <c r="AD13" i="4"/>
  <c r="A11" i="4"/>
  <c r="Y27" i="5" l="1"/>
  <c r="AA27" i="5" l="1"/>
  <c r="Y23" i="5"/>
  <c r="AC27" i="5"/>
  <c r="AE27" i="5" s="1"/>
  <c r="AA28" i="5"/>
  <c r="AC28" i="5"/>
  <c r="AE28" i="5" s="1"/>
  <c r="AA23" i="5"/>
  <c r="S29" i="5" l="1"/>
  <c r="AA31" i="5"/>
  <c r="AC31" i="5"/>
  <c r="AE31" i="5" s="1"/>
  <c r="Y29" i="5"/>
  <c r="AA29" i="5" s="1"/>
  <c r="Y22" i="5" l="1"/>
  <c r="AC22" i="5" s="1"/>
  <c r="AE22" i="5" s="1"/>
  <c r="Y38" i="5"/>
  <c r="AA38" i="5" s="1"/>
  <c r="S37" i="5"/>
  <c r="S32" i="5" s="1"/>
  <c r="Y32" i="5" s="1"/>
  <c r="AA22" i="5" l="1"/>
  <c r="AC38" i="5"/>
  <c r="AE38" i="5" s="1"/>
  <c r="Y37" i="5"/>
  <c r="AA37" i="5" s="1"/>
  <c r="AA32" i="5"/>
  <c r="AC32" i="5"/>
  <c r="AE32" i="5" s="1"/>
  <c r="AA46" i="5"/>
  <c r="AC46" i="5"/>
  <c r="AE46" i="5" s="1"/>
  <c r="S44" i="5"/>
  <c r="S41" i="5"/>
  <c r="Y41" i="5" s="1"/>
  <c r="Y52" i="5"/>
  <c r="AC52" i="5" s="1"/>
  <c r="AE52" i="5" s="1"/>
  <c r="AC41" i="5" l="1"/>
  <c r="AE41" i="5" s="1"/>
  <c r="AA41" i="5"/>
  <c r="Y44" i="5"/>
  <c r="Y98" i="5" s="1"/>
  <c r="Y99" i="5" s="1"/>
  <c r="AA52" i="5"/>
  <c r="AA44" i="5" l="1"/>
  <c r="AA98" i="5" l="1"/>
  <c r="AG98" i="5"/>
  <c r="AC98" i="5"/>
  <c r="AK9" i="16"/>
  <c r="S98" i="5"/>
  <c r="S23" i="5"/>
  <c r="S22" i="5"/>
  <c r="AM9" i="16"/>
  <c r="AL9" i="16"/>
  <c r="AH9" i="16"/>
  <c r="AK9" i="5"/>
  <c r="AJ9" i="5"/>
  <c r="AM9" i="5"/>
  <c r="AL9" i="5"/>
  <c r="AH9" i="5"/>
  <c r="AE25" i="5"/>
  <c r="AC25" i="5"/>
  <c r="AI9" i="16"/>
  <c r="AI9" i="5"/>
  <c r="AJ9" i="16"/>
  <c r="S25" i="5"/>
  <c r="Y25" i="5"/>
  <c r="AA2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8 KASUS
75 ORANG</t>
        </r>
      </text>
    </comment>
    <comment ref="S5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150 orang
3+8+6 kasus</t>
        </r>
      </text>
    </comment>
    <comment ref="P6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+3 anak dr MAL</t>
        </r>
      </text>
    </comment>
    <comment ref="I7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  <comment ref="K8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Terbinanya KUBE penerima APBN 50 org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HANI</author>
    <author>User</author>
  </authors>
  <commentList>
    <comment ref="R16" authorId="0" shapeId="0" xr:uid="{9FE34399-285A-4F75-A66F-FBD7C159AA2C}">
      <text>
        <r>
          <rPr>
            <b/>
            <sz val="9"/>
            <color indexed="81"/>
            <rFont val="Tahoma"/>
            <family val="2"/>
          </rPr>
          <t>HANI:</t>
        </r>
        <r>
          <rPr>
            <sz val="9"/>
            <color indexed="81"/>
            <rFont val="Tahoma"/>
            <family val="2"/>
          </rPr>
          <t xml:space="preserve">
hanya yang dibayarkan pajaknya</t>
        </r>
      </text>
    </comment>
    <comment ref="M36" authorId="1" shapeId="0" xr:uid="{87A2D2DA-3674-40A2-9284-A90AB610DAAD}">
      <text>
        <r>
          <rPr>
            <b/>
            <sz val="9"/>
            <color indexed="81"/>
            <rFont val="Tahoma"/>
            <family val="2"/>
          </rPr>
          <t>veteran 50
LKSA 46
Puskesos 450
KT 24</t>
        </r>
      </text>
    </comment>
    <comment ref="P36" authorId="0" shapeId="0" xr:uid="{6F0FB5D8-2F72-4C48-8B26-E9404B1E4EAD}">
      <text>
        <r>
          <rPr>
            <b/>
            <sz val="9"/>
            <color indexed="81"/>
            <rFont val="Tahoma"/>
            <family val="2"/>
          </rPr>
          <t>HANI:</t>
        </r>
        <r>
          <rPr>
            <sz val="9"/>
            <color indexed="81"/>
            <rFont val="Tahoma"/>
            <family val="2"/>
          </rPr>
          <t xml:space="preserve">
lapbul:
0+0+21      (TW I)
khorif: 23 yang benar di lapbul mei</t>
        </r>
      </text>
    </comment>
    <comment ref="X41" authorId="0" shapeId="0" xr:uid="{18D3030A-9F04-4CE8-AC51-0A3051DBAC60}">
      <text>
        <r>
          <rPr>
            <b/>
            <sz val="9"/>
            <color indexed="81"/>
            <rFont val="Tahoma"/>
            <charset val="1"/>
          </rPr>
          <t>HANI:</t>
        </r>
        <r>
          <rPr>
            <sz val="9"/>
            <color indexed="81"/>
            <rFont val="Tahoma"/>
            <charset val="1"/>
          </rPr>
          <t xml:space="preserve">
2 lansia</t>
        </r>
      </text>
    </comment>
    <comment ref="I49" authorId="1" shapeId="0" xr:uid="{7C846E75-0241-4CE6-96D3-31996D1B92CD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  <comment ref="P50" authorId="0" shapeId="0" xr:uid="{ABA0881F-28F4-41CE-8D71-60BCAD51024B}">
      <text>
        <r>
          <rPr>
            <b/>
            <sz val="9"/>
            <color indexed="81"/>
            <rFont val="Tahoma"/>
            <family val="2"/>
          </rPr>
          <t>HANI:</t>
        </r>
        <r>
          <rPr>
            <sz val="9"/>
            <color indexed="81"/>
            <rFont val="Tahoma"/>
            <family val="2"/>
          </rPr>
          <t xml:space="preserve">
di lapbul 0</t>
        </r>
      </text>
    </comment>
    <comment ref="R50" authorId="0" shapeId="0" xr:uid="{0F7FB3AC-85A4-4BD1-A09E-1D46FB80F7E9}">
      <text>
        <r>
          <rPr>
            <b/>
            <sz val="9"/>
            <color indexed="81"/>
            <rFont val="Tahoma"/>
            <family val="2"/>
          </rPr>
          <t>HANI:</t>
        </r>
        <r>
          <rPr>
            <sz val="9"/>
            <color indexed="81"/>
            <rFont val="Tahoma"/>
            <family val="2"/>
          </rPr>
          <t xml:space="preserve">
lapbul
april : 2</t>
        </r>
      </text>
    </comment>
    <comment ref="M51" authorId="0" shapeId="0" xr:uid="{CC11AF4A-E2FE-4E00-928C-CD565E2EA24E}">
      <text>
        <r>
          <rPr>
            <b/>
            <sz val="9"/>
            <color indexed="81"/>
            <rFont val="Tahoma"/>
            <family val="2"/>
          </rPr>
          <t>HANI:</t>
        </r>
        <r>
          <rPr>
            <sz val="9"/>
            <color indexed="81"/>
            <rFont val="Tahoma"/>
            <family val="2"/>
          </rPr>
          <t xml:space="preserve">
28
8 honor RPTC</t>
        </r>
      </text>
    </comment>
    <comment ref="P51" authorId="0" shapeId="0" xr:uid="{8145C8B4-BFF2-4CED-9638-87FEA8599974}">
      <text>
        <r>
          <rPr>
            <b/>
            <sz val="9"/>
            <color indexed="81"/>
            <rFont val="Tahoma"/>
            <family val="2"/>
          </rPr>
          <t>HANI:</t>
        </r>
        <r>
          <rPr>
            <sz val="9"/>
            <color indexed="81"/>
            <rFont val="Tahoma"/>
            <family val="2"/>
          </rPr>
          <t xml:space="preserve">
8 honor RPTC</t>
        </r>
      </text>
    </comment>
    <comment ref="R51" authorId="0" shapeId="0" xr:uid="{D5654DA9-B2A7-4A39-822D-A3A5DD2DD656}">
      <text>
        <r>
          <rPr>
            <b/>
            <sz val="9"/>
            <color indexed="81"/>
            <rFont val="Tahoma"/>
            <family val="2"/>
          </rPr>
          <t>HANI:</t>
        </r>
        <r>
          <rPr>
            <sz val="9"/>
            <color indexed="81"/>
            <rFont val="Tahoma"/>
            <family val="2"/>
          </rPr>
          <t xml:space="preserve">
8 honor RPTC</t>
        </r>
      </text>
    </comment>
    <comment ref="V51" authorId="0" shapeId="0" xr:uid="{C1BA3A2E-D34C-4210-8CE9-E3376833CAE0}">
      <text>
        <r>
          <rPr>
            <b/>
            <sz val="9"/>
            <color indexed="81"/>
            <rFont val="Tahoma"/>
            <family val="2"/>
          </rPr>
          <t>HANI:</t>
        </r>
        <r>
          <rPr>
            <sz val="9"/>
            <color indexed="81"/>
            <rFont val="Tahoma"/>
            <family val="2"/>
          </rPr>
          <t xml:space="preserve">
oktober 6 orang eks napiter</t>
        </r>
      </text>
    </comment>
    <comment ref="R52" authorId="0" shapeId="0" xr:uid="{545C4DCC-5C23-4420-A172-02B47A9BC046}">
      <text>
        <r>
          <rPr>
            <b/>
            <sz val="9"/>
            <color indexed="81"/>
            <rFont val="Tahoma"/>
            <family val="2"/>
          </rPr>
          <t>HANI:</t>
        </r>
        <r>
          <rPr>
            <sz val="9"/>
            <color indexed="81"/>
            <rFont val="Tahoma"/>
            <family val="2"/>
          </rPr>
          <t xml:space="preserve">
safari ramadhan</t>
        </r>
      </text>
    </comment>
    <comment ref="K57" authorId="1" shapeId="0" xr:uid="{59C62B32-6500-4AC0-B41E-E453F0CA89F0}">
      <text>
        <r>
          <rPr>
            <b/>
            <sz val="9"/>
            <color indexed="81"/>
            <rFont val="Tahoma"/>
            <family val="2"/>
          </rPr>
          <t xml:space="preserve">Terbinanya KUBE penerima APBN 50 org
</t>
        </r>
      </text>
    </comment>
    <comment ref="M57" authorId="1" shapeId="0" xr:uid="{66225B33-9898-4C7F-BD24-F4FDAE435AB3}">
      <text>
        <r>
          <rPr>
            <b/>
            <sz val="9"/>
            <color indexed="81"/>
            <rFont val="Tahoma"/>
            <family val="2"/>
          </rPr>
          <t>Rastra 50
DBHCHT 582</t>
        </r>
      </text>
    </comment>
    <comment ref="T57" authorId="0" shapeId="0" xr:uid="{AED94B2C-1212-4B4E-98E1-AE32C23F5182}">
      <text>
        <r>
          <rPr>
            <b/>
            <sz val="9"/>
            <color indexed="81"/>
            <rFont val="Tahoma"/>
            <family val="2"/>
          </rPr>
          <t>HANI:</t>
        </r>
        <r>
          <rPr>
            <sz val="9"/>
            <color indexed="81"/>
            <rFont val="Tahoma"/>
            <family val="2"/>
          </rPr>
          <t xml:space="preserve">
labul nov dbhcht  = 798 klg</t>
        </r>
      </text>
    </comment>
  </commentList>
</comments>
</file>

<file path=xl/sharedStrings.xml><?xml version="1.0" encoding="utf-8"?>
<sst xmlns="http://schemas.openxmlformats.org/spreadsheetml/2006/main" count="1510" uniqueCount="500">
  <si>
    <t>No</t>
  </si>
  <si>
    <t>Indikator Kinerja Program dan Sub Kegiatan</t>
  </si>
  <si>
    <t>Satuan</t>
  </si>
  <si>
    <t>TRIWULAN</t>
  </si>
  <si>
    <t>Unit SKPD Penanggung Jawab</t>
  </si>
  <si>
    <t>I</t>
  </si>
  <si>
    <t>II</t>
  </si>
  <si>
    <t>III</t>
  </si>
  <si>
    <t>IV</t>
  </si>
  <si>
    <t>K</t>
  </si>
  <si>
    <t>Rp (Ribu)</t>
  </si>
  <si>
    <t>Rp (Ribu)
APBD</t>
  </si>
  <si>
    <t>17=16/7*100</t>
  </si>
  <si>
    <t>PROGRAM PENUNJANG URUSAN PEMERINTAHAN DAERAH KABUPATEN/KOTA</t>
  </si>
  <si>
    <t>Terpenuhinya dokumen perencanaan pembangunan daerah</t>
  </si>
  <si>
    <t>%</t>
  </si>
  <si>
    <t>DINSOS</t>
  </si>
  <si>
    <t>Perencanaan, Penganggaran, dan Evaluasi Kinerja Perangkat Daerah</t>
  </si>
  <si>
    <t>Penyusunan Dokumen Perencanaan Perangkat Daerah</t>
  </si>
  <si>
    <t>dokumen</t>
  </si>
  <si>
    <t>Evaluasi Kinerja Perangkat Daerah</t>
  </si>
  <si>
    <t>Tersedianya administrasi keuangan setiap bulan</t>
  </si>
  <si>
    <t>Administrasi Keuangan Perangkat Daerah</t>
  </si>
  <si>
    <t>Penyediaan Gaji dan Tunjangan ASN</t>
  </si>
  <si>
    <t>Terbayarnya gaji dan tunjangan ASN</t>
  </si>
  <si>
    <t>bulan</t>
  </si>
  <si>
    <t>Persentase tingkat kedisiplinan pegawai OPD</t>
  </si>
  <si>
    <t>Administrasi Kepegawaian Perangkat Daerah</t>
  </si>
  <si>
    <t>Pengadaan Pakaian Dinas Beserta Atribut Kelengkapannya</t>
  </si>
  <si>
    <t>Tersedianya pakaian khusus hari-hari tertentu</t>
  </si>
  <si>
    <t>stel</t>
  </si>
  <si>
    <t>Pendidikan dan Pelatihan Pegawai Berdasarkan Tugas dan Fungsi</t>
  </si>
  <si>
    <t>Terlaksananya pengiriman diklat</t>
  </si>
  <si>
    <t>orang</t>
  </si>
  <si>
    <t>Tersedianya administrasi perkantoran setiap bulan</t>
  </si>
  <si>
    <t>Administrasi Umum Perangkat Daerah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</si>
  <si>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</si>
  <si>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</si>
  <si>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</si>
  <si>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</si>
  <si>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</si>
  <si>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Komunikasi, Sumber Daya Air dan Listrik</t>
  </si>
  <si>
    <t>Penyediaan Jasa Pelayanan Umum Kantor</t>
  </si>
  <si>
    <t>Terbayarnya jasa honorarium PNS dan Non PNS</t>
  </si>
  <si>
    <t>Terpenuhinya sarpras kantor sesuai kebutuhan</t>
  </si>
  <si>
    <t>Pengadaan Barang Milik Daerah Penunjang Urusan Pemerintah Daerah</t>
  </si>
  <si>
    <t>Pengadaan Mebel</t>
  </si>
  <si>
    <t>Terpenuhinya kebutuhan mebeleur</t>
  </si>
  <si>
    <t>Pengadaan Peralatan dan Mesin Lainnya</t>
  </si>
  <si>
    <t>Terpenuhinya kebutuhan peralatan gedung kantor</t>
  </si>
  <si>
    <t>Pengadaan Sarana dan Prasarana Pendukung Gedung Kantor atau Bangunan Lainnya</t>
  </si>
  <si>
    <t>Tersedianya perlengkapan gedung kantor</t>
  </si>
  <si>
    <t>Pemeliharaan Barang Milik Daerah Penunjang Urusan Pemerintahan Daerah</t>
  </si>
  <si>
    <t>Penyediaan Jasa Pemeliharaan, Biaya Pemeliharaan dan Pajak Kendaraan Perorangan Dinas atau Kendaraan Dinas Jabatan</t>
  </si>
  <si>
    <t>Pemeliharaan/Rehabilitasi Gedung Kantor dan Bangunan Lainnya</t>
  </si>
  <si>
    <t>Pemeliharaan/Rehabilitasi Sarana dan Prasarana Pendukung Gedung Kantor atau Bangunan Lainnya</t>
  </si>
  <si>
    <t>PROGRAM PEMBERDAYAAN SOSIAL</t>
  </si>
  <si>
    <t>Persentase TKSK, PSM, orsos, LKS, dan kelembagaan lainnya yang dibina</t>
  </si>
  <si>
    <t>Persentase panti sosial yg menyediakan sarana dan prasarana pelayanan kesejahteraan sosial</t>
  </si>
  <si>
    <t>Persentase PMKS yg menerima program pemberdayaan sosial melalui KUBE</t>
  </si>
  <si>
    <t>2017 tidak ada</t>
  </si>
  <si>
    <t>Pengembangan Potensi Sumber Kesejahteraan Sosial Daerah Kabupaten/Kota</t>
  </si>
  <si>
    <t>Peningkatan Kemampuan Potensi Pekerja Sosial Masyarakat Kewenangan Kabupaten/Kota</t>
  </si>
  <si>
    <t>Terbinanya SDM pada Lembaga Kesejahteraan Sosial Masyarakat</t>
  </si>
  <si>
    <t xml:space="preserve">   </t>
  </si>
  <si>
    <t>Peningkatan Kemampuan Potensi Tenaga Kesejahteraan Sosial Kecamatan Kewenangan Kabupaten/Kota</t>
  </si>
  <si>
    <t>Terbayarnya honor TKSK 24 kecamatan dan terlaksananya Rakor TKSK</t>
  </si>
  <si>
    <t>Peningkatan Kemampuan Potensi Sumber Kesejahteraan Sosial Keluarga Kewenangan Kabupaten/Kota</t>
  </si>
  <si>
    <t>Terdampinginya keluarga penerima bantuan PKH (Pemberdayaan Fakir dan PMKS)</t>
  </si>
  <si>
    <t>Terlaksananya sosialisasi Rastra</t>
  </si>
  <si>
    <t>Terlatihnya pendamping KUBE untuk mendampingi Program Penanggulangan Kemiskinan (Capacity Building)</t>
  </si>
  <si>
    <t>Peningkatan Kemampuan Potensi Sumber Kesejahteraan Sosial Kelembagaan Masyarakat Kewenangan Kabupaten/Kota</t>
  </si>
  <si>
    <t>Jumlah panti yang mendapat bantuan</t>
  </si>
  <si>
    <t>panti</t>
  </si>
  <si>
    <t>Jumlah lansia yang terbina</t>
  </si>
  <si>
    <t>Jumlah veteran, pejuang/perintis kemerdekaan, pahlawan dan keluarganya yang menerima bantuan UEP dan bimbingan sosial</t>
  </si>
  <si>
    <t>Terbinanya Karang taruna</t>
  </si>
  <si>
    <t>KT</t>
  </si>
  <si>
    <t>Terlaksananya pemeliharaan Taman Makam Pahlawan</t>
  </si>
  <si>
    <t>kegiatan</t>
  </si>
  <si>
    <t>Peningkatan Kemampuan Sumber Daya Manusia dan Penguatan Lembaga Konsultasi Kesejahteraan Keluarga (LK3)</t>
  </si>
  <si>
    <t>Terselesaikannya kasus-kasus keluarga melalui LK3</t>
  </si>
  <si>
    <t>PROGRAM REHABILITASI SOSIAL</t>
  </si>
  <si>
    <t>Persentase PMKS yang memperoleh bantuan sosial untuk pemenuhan kebutuhan dasar</t>
  </si>
  <si>
    <t>Persentase penyandang cacat fisik dan mental serta lanjut usia tidak potensial yang menerima bantuan sosial</t>
  </si>
  <si>
    <t>Persentase eks penyandang penyakit sosial yang mendapat pembinaan</t>
  </si>
  <si>
    <t>Rehabilitasi Sosial Dasar Penyandang Disabilitas Terlantar, Anak Terlantar, Lanjut Usia Terlantar, serta Gelandangan Pengemis di Luar Panti Sosial</t>
  </si>
  <si>
    <t>Penyediaan Permakanan</t>
  </si>
  <si>
    <t>Penyediaan Alat Bantu</t>
  </si>
  <si>
    <t>unit</t>
  </si>
  <si>
    <t>Pengiriman tim pentas seni dan terbantunya pca</t>
  </si>
  <si>
    <t>Pemberian Pelayanan Reunifikasi Keluarga</t>
  </si>
  <si>
    <t>Pemberian Bimbingan Fisik, Mental, Spiritual, dan Sosial</t>
  </si>
  <si>
    <t>Terlaksananya pengiriman kontingen pentas seni penyandang cacat (pendayagunaan penyandang cacat dan eks trauma)</t>
  </si>
  <si>
    <t>Pemberian Akses ke Layanan Pendidikan dan Kesehatan Dasar</t>
  </si>
  <si>
    <t>Jumlah penyandang cacat dan eks trauma yang dikirim ke balai</t>
  </si>
  <si>
    <t>Jumlah PGOT yang terpeliharanya kesehatannya (KIE konseling)</t>
  </si>
  <si>
    <t>Rehabilitasi Sosial Penyandang Masalah Kesejahteraan Sosial (PMKS) Lainnya Bukan Korban HIV/AIDS dan NAPZA di Luar Panti Sosial</t>
  </si>
  <si>
    <t>Tersedianya permakanan bagi penerima manfaat (RPTC)</t>
  </si>
  <si>
    <t>Penyediaan Sandang</t>
  </si>
  <si>
    <t>Tersedianya sandang bagi penerima manfaat (RPTC)</t>
  </si>
  <si>
    <t>Jumlah eks penyandang penyakit sosial yang mendapat pelatihan dan keterampilan</t>
  </si>
  <si>
    <t>Terbayarnya honor pada RPTC</t>
  </si>
  <si>
    <t>Pemberian Bimbingan Sosial kepada Keluarga Penyandang Masalah Kesejahteraan Sosial (PMKS) Lainnya Bukan Korban HIV/AIDS dan NAPZA</t>
  </si>
  <si>
    <t>paket</t>
  </si>
  <si>
    <t>PROGRAM PERLINDUNGAN DAN JAMINAN SOSIAL</t>
  </si>
  <si>
    <t>Persentase anak telantar yang dibina</t>
  </si>
  <si>
    <t>Pemeliharaan Anak-Anak Terlantar</t>
  </si>
  <si>
    <t>Penjangkauan Anak-Anak Terlantar</t>
  </si>
  <si>
    <t>Jumlah anak telantar yang diobservasi dan diasesmen</t>
  </si>
  <si>
    <t>Rujukan Anak-Anak Terlantar</t>
  </si>
  <si>
    <t>Jumlah anak telantar yang diberi rujukan</t>
  </si>
  <si>
    <t>Pemantauan terhadap Pelaksanaan Pemeliharaan Anak Terlantar</t>
  </si>
  <si>
    <t>Jumlah anak telantar yang diberi bantuan</t>
  </si>
  <si>
    <t>Persentase PMKS yang direhabilitasi</t>
  </si>
  <si>
    <t>Pengelolaan Data Fakir Miskin Cakupan Daerah Kabupaten/Kota</t>
  </si>
  <si>
    <t>Pendataan Fakir Miskin Cakupan Daerah Kabupaten/Kota</t>
  </si>
  <si>
    <t>Terverifikasi dan validasi data PMKS dan PSKS</t>
  </si>
  <si>
    <t>Terverifikasi dan validasi data PMKS dan DTKS</t>
  </si>
  <si>
    <t>V</t>
  </si>
  <si>
    <t>PROGRAM PENANGANAN BENCANA</t>
  </si>
  <si>
    <t>Perlindungan Sosial Korban Bencana Alam dan Sosial Kabupaten/Kota</t>
  </si>
  <si>
    <t>Penyediaan Makanan</t>
  </si>
  <si>
    <t>Tersedianya permakanan bagi korban bencana alam dan sosial</t>
  </si>
  <si>
    <t>Rata-rata Capaian Kinerja (%)</t>
  </si>
  <si>
    <t>Predikat Kinerja</t>
  </si>
  <si>
    <t>Kode Rekening</t>
  </si>
  <si>
    <t>Kode</t>
  </si>
  <si>
    <t>Program/Kegiatan/Sub Kegiatan</t>
  </si>
  <si>
    <t>Lokasi</t>
  </si>
  <si>
    <t>Sumber Dana</t>
  </si>
  <si>
    <t>RKPD (Rp)</t>
  </si>
  <si>
    <t>APBD (Rp)</t>
  </si>
  <si>
    <t>Setelah Perubahan</t>
  </si>
  <si>
    <t>Tambah/Kurang</t>
  </si>
  <si>
    <t>Keterangan</t>
  </si>
  <si>
    <t>KET</t>
  </si>
  <si>
    <t>opd</t>
  </si>
  <si>
    <t>Dinas Pendidikan Dan KebudayaanPerencanaan dan Evaluasi Kinerja Perangkat</t>
  </si>
  <si>
    <t>1</t>
  </si>
  <si>
    <t>01</t>
  </si>
  <si>
    <t>2.01</t>
  </si>
  <si>
    <t>2 dokumen</t>
  </si>
  <si>
    <t>Jumlah dokumen Evaluasi Sakip yang tersusun</t>
  </si>
  <si>
    <t>1 dokumen</t>
  </si>
  <si>
    <t>Tersedianya Administrasi Keuangan Perangkat Daerah</t>
  </si>
  <si>
    <t>12 bulan</t>
  </si>
  <si>
    <t>2.02</t>
  </si>
  <si>
    <t>Tersedianya Gaji dan Tunjangan ASN</t>
  </si>
  <si>
    <t>02</t>
  </si>
  <si>
    <t>09</t>
  </si>
  <si>
    <t>11</t>
  </si>
  <si>
    <t>2.06</t>
  </si>
  <si>
    <t>05</t>
  </si>
  <si>
    <t>06</t>
  </si>
  <si>
    <t>2.08</t>
  </si>
  <si>
    <t>03</t>
  </si>
  <si>
    <t>04</t>
  </si>
  <si>
    <t>2.09</t>
  </si>
  <si>
    <t>1 unit</t>
  </si>
  <si>
    <t>08</t>
  </si>
  <si>
    <t>2.03</t>
  </si>
  <si>
    <t>1 kegiatan</t>
  </si>
  <si>
    <t>07</t>
  </si>
  <si>
    <t>40 orang</t>
  </si>
  <si>
    <t>60 kasus</t>
  </si>
  <si>
    <t>1.06.0.00.0.00.01.0000</t>
  </si>
  <si>
    <t>Dinas Sosial</t>
  </si>
  <si>
    <t>24 orang</t>
  </si>
  <si>
    <t>35 orang</t>
  </si>
  <si>
    <t>55 orang</t>
  </si>
  <si>
    <t>30 orang</t>
  </si>
  <si>
    <t>25 dokumen</t>
  </si>
  <si>
    <t>1000 paket</t>
  </si>
  <si>
    <t>200 orang</t>
  </si>
  <si>
    <t>60 orang</t>
  </si>
  <si>
    <t>Terlaksananya rapat-rapat koordinasi dan konsultasi luar dan dalam daerah</t>
  </si>
  <si>
    <t>65 orang</t>
  </si>
  <si>
    <t>250 orang</t>
  </si>
  <si>
    <t>50 orang</t>
  </si>
  <si>
    <t>cap/ttd</t>
  </si>
  <si>
    <t>TATTO SUWARTO PAMUJI</t>
  </si>
  <si>
    <t>20 unit</t>
  </si>
  <si>
    <t>Tabel 3.1</t>
  </si>
  <si>
    <t>1.06.01.2.01.01</t>
  </si>
  <si>
    <t>1.06.01.2.01.07</t>
  </si>
  <si>
    <t>1.06.01.2.06.02</t>
  </si>
  <si>
    <t>1.06.01.2.06.04</t>
  </si>
  <si>
    <t>1.06.01.2.06.05</t>
  </si>
  <si>
    <t>1.06.01.2.06.09</t>
  </si>
  <si>
    <t>1.06.01.2.08.02</t>
  </si>
  <si>
    <t>1.06.01.2.08.04</t>
  </si>
  <si>
    <t>1.06.01.2.09.01</t>
  </si>
  <si>
    <t>1.06.01.2.09.09</t>
  </si>
  <si>
    <t>1.06.01.2.09.11</t>
  </si>
  <si>
    <t>1.06.02.2.03.01</t>
  </si>
  <si>
    <t>1.06.02.2.03.02</t>
  </si>
  <si>
    <t>1.06.02.2.03.03</t>
  </si>
  <si>
    <t>1.06.02.2.03.04</t>
  </si>
  <si>
    <t>1.06.02.2.03.05</t>
  </si>
  <si>
    <t>1.06.04.2.01.01</t>
  </si>
  <si>
    <t>1.06.04.2.01.03</t>
  </si>
  <si>
    <t>1.06.04.2.01.04</t>
  </si>
  <si>
    <t>1.06.04.2.01.05</t>
  </si>
  <si>
    <t>1.06.04.2.01.08</t>
  </si>
  <si>
    <t>1.06.04.2.02.03</t>
  </si>
  <si>
    <t>1.06.04.2.02.04</t>
  </si>
  <si>
    <t>1.06.04.2.02.07</t>
  </si>
  <si>
    <t>1.06.04.2.02.08</t>
  </si>
  <si>
    <t>1.06.05.2.01.01</t>
  </si>
  <si>
    <t>1.06.05.2.01.02</t>
  </si>
  <si>
    <t>1.06.05.2.01.03</t>
  </si>
  <si>
    <t>1.06.05.2.02.02</t>
  </si>
  <si>
    <t>1.06.06.2.01.01</t>
  </si>
  <si>
    <t>Tabel 2.1</t>
  </si>
  <si>
    <t>Target Capaian Kinerja Tahun 2022</t>
  </si>
  <si>
    <t>Target Capaian Kinerja Perubahan Tahun 2022</t>
  </si>
  <si>
    <t>Rencana Program dan Kegiatan Perangkat Daerah Pada Perubahan Renja Tahun 2022</t>
  </si>
  <si>
    <t>URUSAN PEMERINTAHAN WAJIB YANG BERKAITAN DENGAN PELAYANAN DASAR</t>
  </si>
  <si>
    <t>URUSAN PEMERINTAHAN BIDANG SOSIAL</t>
  </si>
  <si>
    <t>PROGRAM PENUNJANG URUSAN PEMERINTAHAN DAERAH</t>
  </si>
  <si>
    <t>Program</t>
  </si>
  <si>
    <t>Keluaran Sub Kegiatan</t>
  </si>
  <si>
    <t>Keluaran Kegiatan</t>
  </si>
  <si>
    <t>Indikator Capaian Kinerja Tahun 2022</t>
  </si>
  <si>
    <t>Indikator Capaian Kinerja Perubahan Tahun 2022</t>
  </si>
  <si>
    <t>Outcome Program</t>
  </si>
  <si>
    <t>Realisasi Capaian Kinerja dan Anggaran Renja PD 2022 yang dievaluasi</t>
  </si>
  <si>
    <t>Tingkat Capaian Kinerja dan Realisasi Anggaran Renja 2022 yang dievaluasi (%)</t>
  </si>
  <si>
    <t>Perangkat Daerah: DINAS SOSIAL KABUPATEN CILACAP</t>
  </si>
  <si>
    <t>Program / Kegiatan RKPD Permendagri 13 Th. 2006</t>
  </si>
  <si>
    <t>Program / Kegiatan / Sub Kegiatan
Kepmendagri 050-3708
Th. 2020</t>
  </si>
  <si>
    <t>Target Akhir Renstra PD pada Tahun 2017 - 2022 pada  Tahun 2022</t>
  </si>
  <si>
    <t>Realisasi capaian kinerja Renstra PD s.d. Renja Tahun Lalu (2021)</t>
  </si>
  <si>
    <t>Target Kinerja Renja PD Tahun Berjalan (Tahun 2022) yang dievaluasi (2022)</t>
  </si>
  <si>
    <t>Realisasi Kinerja Renstra PD s/d Tahun 2022</t>
  </si>
  <si>
    <t>Tingkat Capaian Kinerja Renstra PD s/d Tahun 2022</t>
  </si>
  <si>
    <t>Rp</t>
  </si>
  <si>
    <t>Rp
(Renja)</t>
  </si>
  <si>
    <t>Rp (ribu)
APBD Perubahan</t>
  </si>
  <si>
    <t>14=7+13</t>
  </si>
  <si>
    <t>1.06.01</t>
  </si>
  <si>
    <t>PROGRAM PERENCANAAN DAN PELAPORAN KINERJA</t>
  </si>
  <si>
    <t>1.06.01.2.01</t>
  </si>
  <si>
    <t>Jumlah Dokumen Peencanaan, Penganggaran dan evaluasi Kinerja Perangkat Daerah.</t>
  </si>
  <si>
    <t>Dokumen</t>
  </si>
  <si>
    <t>Penyusunan Renja Perangkat Daerah</t>
  </si>
  <si>
    <t>Terevaluasinya dokumen RENSTRA</t>
  </si>
  <si>
    <t>Terpenuhinya dokumen Renja dan Renja Perubahan</t>
  </si>
  <si>
    <t>Evaluasi, Monitoring Kegiatan dan Pelaporan SAKIP</t>
  </si>
  <si>
    <t>Laporan monitoring, evaluasi, dan pelaporan SAKIP</t>
  </si>
  <si>
    <t>1.06.01.2.02</t>
  </si>
  <si>
    <t>Bulan</t>
  </si>
  <si>
    <t>1.06.01.2.02.02.01</t>
  </si>
  <si>
    <t>PROGRAM PENINGKATAN DISIPLIN APARATUR</t>
  </si>
  <si>
    <t>Jumlah pegawai yang terfasilitasi administrasi kepegawaian perangkat daerah</t>
  </si>
  <si>
    <t>Orang</t>
  </si>
  <si>
    <t>Pengadaan Pakaian Dinas Beserta Perlengkapannya</t>
  </si>
  <si>
    <t>PROGRAM PENINGKATAN KAPASITAS SUMBER DAYA APARATUR</t>
  </si>
  <si>
    <t>Pendidikan dan Pelatihan Formal</t>
  </si>
  <si>
    <t>PROGRAM PELAYANAN ADMINISTRASI PERKANTORAN</t>
  </si>
  <si>
    <t>1.06.01.2.06</t>
  </si>
  <si>
    <t>Tersedianya administrasi umum perangkat daerah</t>
  </si>
  <si>
    <t>Penyediaan Alat Tulis Kantor</t>
  </si>
  <si>
    <t>Tersedianya peralatan dan perlengkapan kantor Dinsos Kab. Cilacap</t>
  </si>
  <si>
    <t>1.06.01.2.06.03</t>
  </si>
  <si>
    <t>Penyediaan Makanan dan Minuman</t>
  </si>
  <si>
    <t>Tersedianya makanan dan minuman rapat, karyawan, dan tamu kantor Dinsos Kab. Cilacap</t>
  </si>
  <si>
    <t>Penyediaan Barang Cetakan dan Penggadaan</t>
  </si>
  <si>
    <t>Tersedianya barang cetakan dan penggandaan kantor Dinsos Kab. Cilacap</t>
  </si>
  <si>
    <t>Rapat-Rapat Koordinasi dan Konsultasi ke Luar Daerah</t>
  </si>
  <si>
    <t>1.06.01.2.08</t>
  </si>
  <si>
    <t>Tersedianyan jasa penunjang urusan pemeintah daerah</t>
  </si>
  <si>
    <t>Terbayarnya jasa komunikasi, SDA, dan listrik kantor Dinsos Kab. Cilacap</t>
  </si>
  <si>
    <t>Penyediaan Jasa Administrasi Keuangan</t>
  </si>
  <si>
    <t>PROGRAM PENINGKATAN SARANA DAN PRASARANA APARATUR</t>
  </si>
  <si>
    <t>Jumlah pengadaan barang milik daerah</t>
  </si>
  <si>
    <t>Unit</t>
  </si>
  <si>
    <t>Pengadaan Mebeleur</t>
  </si>
  <si>
    <t>Pengadaan Peralatan Gedung Kantor</t>
  </si>
  <si>
    <t>Pengadaan Perlengkapan Gedung Kantor</t>
  </si>
  <si>
    <t>1.06.01.2.09</t>
  </si>
  <si>
    <t>Jumlah barang milik daerah yang terpelihara</t>
  </si>
  <si>
    <t>Pemeliharaan Rutin/Berkala Kendaraan Dinas/Operasional</t>
  </si>
  <si>
    <t>Terpeliharanya kendaraan dinas operasional Dinsos Kab. Cilacap</t>
  </si>
  <si>
    <t>Pemeliharaan Rutin/Berkala Gedung Kantor</t>
  </si>
  <si>
    <t>Terpeliharanya gedung kantor Dinsos, RPTC, dan TMP Kab. Cilacap</t>
  </si>
  <si>
    <t>m2</t>
  </si>
  <si>
    <t>Pemeliharaan Rutin/Berkala Peralatan Gedung Kantor</t>
  </si>
  <si>
    <t>Terpeliharanya perlengkapan gedung kantor Dinsos Kab. Cilacap</t>
  </si>
  <si>
    <t>PROGRAM PEMBERDAYAAN KELEMBAGAAN KESEJAHTERAAN SOSIAL</t>
  </si>
  <si>
    <t>1.06.02.2.03</t>
  </si>
  <si>
    <t>Jumlah PSKS dan Non PSKS yang terbina</t>
  </si>
  <si>
    <t>Peningkatan Kualitas SDM Kesejahteraan Sosial Masyarakat</t>
  </si>
  <si>
    <t>Peningkatan Jenjang Kerja Sama Pelaku-Pelaku usaha Kesejahteraan Sosial Masyarakat</t>
  </si>
  <si>
    <t>PROGRAM PEMBERDAYAAN FAKIR MISKIN, KOMUNITAS ADAT TERPENCIL (KAT) DAN PENYANDANG MASALAH KESEJAHTERAAN SOSIAL</t>
  </si>
  <si>
    <t>Pemberdayaan Fakir dan PMKS</t>
  </si>
  <si>
    <t>Sosialisasi Rastra</t>
  </si>
  <si>
    <t>Peningkatan Kemampuan (Capacity Building) Petugas dan Pendamping Sosial Pemberdayaan Fakir Miskin, KAT, dan PMKS Lainnya</t>
  </si>
  <si>
    <t>PROGRAM PEMBINAAN PANTI ASUHAN/PANTI JOMPO</t>
  </si>
  <si>
    <t>Kegiatan Bantuan dan Jaminan Sosial</t>
  </si>
  <si>
    <t>Pemberdayaan Kelembagaan Kesejahteraan Sosial Komda Lansia Kabupaten Cilacap</t>
  </si>
  <si>
    <t>Bimbingan Sosial, Bantuan Usaha Ekonomis produktif Bagi veteran, Pejuang/Perintis Kemerdekaan, Pahlawan, dan Keluarganya</t>
  </si>
  <si>
    <t>Pemberdayaan Lembaga Kesejahteraan Sosial Karang Taruna</t>
  </si>
  <si>
    <t>Terlaksananya rapat kerja Karang Taruna</t>
  </si>
  <si>
    <t>Pemberdayaan Lembaga Konsultasi Kesejahteraan Keluarga Kabupaten Cilacap</t>
  </si>
  <si>
    <t>lembaga</t>
  </si>
  <si>
    <t>PROGRAM PELAYANAN DAN REHABILITASI KESEJAHTERAAN SOSIAL</t>
  </si>
  <si>
    <t>lansia 0
disabil 3
alat 46</t>
  </si>
  <si>
    <t>1.06.04.2.01</t>
  </si>
  <si>
    <t>Jumlah PMKS yang dibantu</t>
  </si>
  <si>
    <t>Pelaksanaan KIE Konseling dan Kampanye Sosial Bagi Penyandang Masalah Kesejahteraan Sosial (PMKS)</t>
  </si>
  <si>
    <t>Terpenuhinya permakanan bagi PMKS</t>
  </si>
  <si>
    <t xml:space="preserve">Tersedianya alat bantu bagi penyandang cacat </t>
  </si>
  <si>
    <t xml:space="preserve">Terlayaninya PMKS yang direunifikasi keluarga </t>
  </si>
  <si>
    <t>PROGRAM PEMBINAAN PARA PENYANDANG CACAT DAN TRAUMA</t>
  </si>
  <si>
    <t>Pendayagunaan Para Penyandang Cacat dan Eks Trauma</t>
  </si>
  <si>
    <t>Tersedianya bimbingan fisik, mental, spiritual, dan sosial bagi PMKS</t>
  </si>
  <si>
    <t>1.06.04.2.02</t>
  </si>
  <si>
    <t>Jumlah PMKS lainnya yang dibantu</t>
  </si>
  <si>
    <t>Pelayanan dan Perlindungan Sosial Bagi Korban Tindak Kekerasan</t>
  </si>
  <si>
    <t>1.06.04.2.02.05</t>
  </si>
  <si>
    <t>Pelatihan Keterampilan Berusaha Bagi Keluarga Miskin</t>
  </si>
  <si>
    <t>Terpenuhinya bimbingan sosial bagi keluarga PMKS lainnya</t>
  </si>
  <si>
    <t>PROGRAM PEMBINAAN ANAK TELANTAR</t>
  </si>
  <si>
    <t>1.06.05.2.01</t>
  </si>
  <si>
    <t>Jumlah anak telantar yang dibina</t>
  </si>
  <si>
    <t>Pengembangan Bakat dan Keterampilan Anak Telantar</t>
  </si>
  <si>
    <t>1.06.05.2.02</t>
  </si>
  <si>
    <t>Jumlah dokumen PMKS dan DTKS</t>
  </si>
  <si>
    <t>Pendataan PMKS dan PSKS</t>
  </si>
  <si>
    <t>Pemutahiran Data BDT</t>
  </si>
  <si>
    <t>1.06.05.2.02.03</t>
  </si>
  <si>
    <t>Fasilitasi Bantuan Sosial Kesejahteraan Keluarga</t>
  </si>
  <si>
    <t>Terlatih dan terbinanya WRSE (Pelatihan keterampilan berusaha bagi keluarga miskin)</t>
  </si>
  <si>
    <t>1.06.06.2.01</t>
  </si>
  <si>
    <t>Jumlah korban bencana yang menerima bantuan</t>
  </si>
  <si>
    <t>Penanganan Masalah-Masalah Strategis yang Menyangkut Tanggap Cepat Darurat dan Kejadian Luar Biasa</t>
  </si>
  <si>
    <t>1.06.06.2.01.05</t>
  </si>
  <si>
    <t>Pelayanan Dukungan Psikososial</t>
  </si>
  <si>
    <t>Jumlah korban bencana yang mendapatkan dukungan psikososial</t>
  </si>
  <si>
    <t>Faktor pendorong keberhasilan kinerja:</t>
  </si>
  <si>
    <t>Kerja sama dengan PSKS; komitmen dan konsistensi dalam melaksanakan kegiatan sesuai yang direncanakan dan dianggarkan.</t>
  </si>
  <si>
    <t>Faktor penghambat pencapaian kinerja:</t>
  </si>
  <si>
    <t>Pandemi Covid-19; keterbatasan SDM yang kompeten dan profesional; sarpras yang belum memadai.</t>
  </si>
  <si>
    <t>Tindak lanjut yang diperlukan dalam triwulan berikutnya:</t>
  </si>
  <si>
    <t>Mengusulkan tambahan SDM; peningkatan kualitas SDM; peningkatan kualitas data.</t>
  </si>
  <si>
    <t>Tindak lanjut yang diperlukan dalam renja PD berikutnya:</t>
  </si>
  <si>
    <t>Pemenuhan SDM yang kompeten dan profesional serta sarpras yang memadai; meningkatkan kualitas penanganan PPKS dan kualitas PSKS; melakukan verval pendataan DTKS, PPKS, dan PSKS.</t>
  </si>
  <si>
    <t>Disusun,</t>
  </si>
  <si>
    <t>Dievaluasi,</t>
  </si>
  <si>
    <t>Cilacap,        April 2022</t>
  </si>
  <si>
    <t>KEPALA DINAS SOSIAL</t>
  </si>
  <si>
    <t>KEPALA BAPPEDA</t>
  </si>
  <si>
    <t>KABUPATEN CILACAP</t>
  </si>
  <si>
    <t>ARIDA PUJI HASTUTI, S.P., M.M.</t>
  </si>
  <si>
    <t>Ir. SUJITO, M.Si.</t>
  </si>
  <si>
    <t>Pembina Tingkat I</t>
  </si>
  <si>
    <t>Pembina Utama Muda</t>
  </si>
  <si>
    <t>NIP. 19701224 199603 2 004</t>
  </si>
  <si>
    <t>NIP. 19651212 199103 1 019</t>
  </si>
  <si>
    <t>11=9+10</t>
  </si>
  <si>
    <t>12=11/8*100</t>
  </si>
  <si>
    <t>Unit Organisasi : 1.06.0.00.0.00.01.0000 Dinas Sosial</t>
  </si>
  <si>
    <t>Sub Unit Organisasi : 1.06.0.00.0.00.01.0000 Dinas Sosial</t>
  </si>
  <si>
    <t>Terpenuhinya dokumen perencanaan pembangungan daerah</t>
  </si>
  <si>
    <t>Mendukung terpenuhinya dokumen perencanaan pembangunan daerah</t>
  </si>
  <si>
    <t>Evaluasi Hasil Renja Dinas Sosial Kabupaten Cilacap Tahun 2022 s.d TW II</t>
  </si>
  <si>
    <t>Mendukung tersedianya administrasi keuangan setiap bulan</t>
  </si>
  <si>
    <t>Mendukung tersedianya administrasi perkantoran setiap bulan</t>
  </si>
  <si>
    <t>Terpenuhinya sarana dan prasarana kantor sesuai kebutuhan</t>
  </si>
  <si>
    <t>Mendukung terpenuhinya sarana dan prasarana kantor sesuai kebutuhan</t>
  </si>
  <si>
    <t>Mendukung persentase TKSK, PSM, orsos, LKS, dan kelembagaan lainnya yang dibina</t>
  </si>
  <si>
    <t>Mendukung persentase PMKS yang memperoleh bantuan sosial untuk pemenuhan kebutuhan dasar</t>
  </si>
  <si>
    <t>Mendukung persentase anak telantar yang dibina</t>
  </si>
  <si>
    <t>Mendukung persentase PMKS yang direhabilitasi</t>
  </si>
  <si>
    <t>Persentase korban bencana yang menerima bantuan sosial</t>
  </si>
  <si>
    <t>Mendukung persentase korban bencana yang menerima bantuan sosial</t>
  </si>
  <si>
    <t>Terlaksananya penyaluran Bantuan langsung Tunai DBHCHT kepada buruh tani tembakau di wilayah Kabupaten Cilacap</t>
  </si>
  <si>
    <t>22 unit</t>
  </si>
  <si>
    <t>84 m2</t>
  </si>
  <si>
    <t>119 unit</t>
  </si>
  <si>
    <t>Kabupaten Cilacap, Cilacap Tengah, Sidanegara</t>
  </si>
  <si>
    <t>Kabupaten Cilacap, Semua Kecamatan, Semua kelurahan</t>
  </si>
  <si>
    <t>462 orang</t>
  </si>
  <si>
    <t>650 orang</t>
  </si>
  <si>
    <t>12 panti</t>
  </si>
  <si>
    <t>284 orang</t>
  </si>
  <si>
    <t>1 lembaga</t>
  </si>
  <si>
    <t>46 orang</t>
  </si>
  <si>
    <t>10 orang</t>
  </si>
  <si>
    <t>20 orang</t>
  </si>
  <si>
    <t>8 orang</t>
  </si>
  <si>
    <t>582 orang</t>
  </si>
  <si>
    <t>Bimtek SIKS-NG</t>
  </si>
  <si>
    <t>Operasional Pendamping PKH</t>
  </si>
  <si>
    <t>Pemeliharaan Kesehatan PGOT</t>
  </si>
  <si>
    <t>Terbentuknya Sistem Layanan Rujukan Terpadu (SLRT)</t>
  </si>
  <si>
    <t>Terlaksananya Bimtek SIKS-NG</t>
  </si>
  <si>
    <t>Terlaksananya monitoring, evaluasi, dan pelaporan DBHCHT</t>
  </si>
  <si>
    <t>Terlaksananya monitoring, evaluasi, dan pelaporan DBHCHT (SILPA DBHCHT)</t>
  </si>
  <si>
    <t>Terbentuknya SLRT</t>
  </si>
  <si>
    <t>Renovasi Taman makam Pahlawan (TMP)</t>
  </si>
  <si>
    <t>Monitoring, evaluasi, dan pelaporan DBHCHT</t>
  </si>
  <si>
    <t>Monitoring, evaluasi, dan pelaporan DBHCHT (SILPA DBHCHT)</t>
  </si>
  <si>
    <t>Pembentukan Sistem Layanan Rujukan Terpadu (SLRT)</t>
  </si>
  <si>
    <t>Target Kinerja Renja PD Tahun Berjalan (Tahun 2023) yang dievaluasi (2023)</t>
  </si>
  <si>
    <t>Realisasi Capaian Kinerja dan Anggaran Renja PD 2023 yang dievaluasi</t>
  </si>
  <si>
    <t>Tingkat Capaian Kinerja dan Realisasi Anggaran Renja 2023 yang dievaluasi (%)</t>
  </si>
  <si>
    <t>HASIL EVALUASI TERHADAP HASIL RENJA PD KABUPATEN CILACAP</t>
  </si>
  <si>
    <t>TAHUN 2023</t>
  </si>
  <si>
    <t>Target Akhir Renstra PD pada Tahun 2023-2026 pada Tahun 2026</t>
  </si>
  <si>
    <t>Realisasi capaian kinerja Renstra PD s.d. Renja Tahun Lalu (2022)</t>
  </si>
  <si>
    <t>Realisasi Kinerja Renstra PD s/d Tahun 2026</t>
  </si>
  <si>
    <t>Tingkat Capaian Kinerja Renstra PD s/d Tahun 2026</t>
  </si>
  <si>
    <t>13=9+10+11+12</t>
  </si>
  <si>
    <t>15=14/9*100</t>
  </si>
  <si>
    <t>Persentase ketercapaian perencanaan dan keuangan Perangkat Daerah</t>
  </si>
  <si>
    <t>Jumlah dokumen perencanaan, penganggaran dan evaluasi kinerja Perangkat Daerah</t>
  </si>
  <si>
    <t>Jumlah dokumen perencanaan Perangkat Daerah</t>
  </si>
  <si>
    <t>Jumlah laporan evaluasi kinerja Perangkat Daerah</t>
  </si>
  <si>
    <t>Tersedianya administrasi keuangan Perangkat Daerah</t>
  </si>
  <si>
    <t>Orang / Bulan</t>
  </si>
  <si>
    <t>Jumlah orang yang menerima gaji dan tunjangan ASN</t>
  </si>
  <si>
    <t>orang/bulan</t>
  </si>
  <si>
    <t>Jumlah kendaraan perorangan dinas atau kendaraan dinas jabatan yang dipelihara dan dibayarkan pajaknya</t>
  </si>
  <si>
    <t>1.06.01.2.09.06</t>
  </si>
  <si>
    <t>Pemeliharaan Peralatan dan Mesin Lainnya</t>
  </si>
  <si>
    <t>Jumlah peralatan dan mesin lainnya yang dipelihara</t>
  </si>
  <si>
    <t>Jumlah gedung kantor dan bangunan lainnya yang dipelihara/direhabilitasi</t>
  </si>
  <si>
    <t>Jumlah sarana dan prasarana pendukung gedung kantor atau bangunan lainnya yang dipelihara/direhabilitasi</t>
  </si>
  <si>
    <t>Persentase terpenuhinya layanan umum dan kepegawaian Perangkat Daerah</t>
  </si>
  <si>
    <t>1.06.01.2.05</t>
  </si>
  <si>
    <t>Jumlah pegawai yang terfasilitasi administrasi kepegawaian Perangkat Daerah</t>
  </si>
  <si>
    <t>1.06.01.2.05.02</t>
  </si>
  <si>
    <t>Jumlah paket pakaian dinas beserta atribut</t>
  </si>
  <si>
    <t>1.06.01.2.05.09</t>
  </si>
  <si>
    <t>Jumlah pegawai berdasarkan tugas dan fungsi yang mengikuti pendidikan dan pelatihan</t>
  </si>
  <si>
    <t>Tersedianya administrasi umum Perangkat Daerah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</si>
  <si>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</si>
  <si>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</si>
  <si>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</si>
  <si>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laporan penyelenggaraan rapat koordinasi dan konsultasi SKPD</t>
  </si>
  <si>
    <t>laporan</t>
  </si>
  <si>
    <t>Tersedianyan jasa penunjang urusan pemerintah daerah</t>
  </si>
  <si>
    <t>Jumlah laporan penyediaan jasa komunikasi, sumber daya air dan listrik yang disediakan</t>
  </si>
  <si>
    <t>Jumlah laporan penyediaan jasa pelayanan umum kantor yang disediakan</t>
  </si>
  <si>
    <t>Persentase TKSK, PSM, Orsos dan LKS yang dibina</t>
  </si>
  <si>
    <t>Jumlah TKSK kewenangan kabupaten/kota yang meningkat kapasitasnya kewenangan kabupaten/kota</t>
  </si>
  <si>
    <t>keluarga</t>
  </si>
  <si>
    <t>Jumlah keluarga yang meningkat kapasitasnya kewenangan kabupaten/kota</t>
  </si>
  <si>
    <t>Jumlah lembaga kesejahteraan sosial yang meningkat kapasitasnya kewenangan kabupaten/kota</t>
  </si>
  <si>
    <t>Jumlah warga negara penyandang disabilitas telantar, anak telantar, lanjut usia telantar dan gelandangan pengemis yang terpenuhi kebutuhan dasarnya di luar panti (Indikator SPM)</t>
  </si>
  <si>
    <t>Jumlah PPKS yang dibantu</t>
  </si>
  <si>
    <t>Jumlah orang yang mendapatkan pemenuhan kebutuhan permakanan sesuai dengan standar gizi minimal kewenangan kabupaten/kota</t>
  </si>
  <si>
    <t>1.06.04.2.01.02</t>
  </si>
  <si>
    <t>Jumlah orang yang menerima pakaian dan kelengkapan lainnya yang tersedia dalam 1 tahun kewenangan kabupaten/kota</t>
  </si>
  <si>
    <t>Jumlah orang yang mendapatkan alat bantu dan alat bantu peraga sesuai kebutuhan kewenangan kabupaten/kota</t>
  </si>
  <si>
    <t>Jumlah orang yang mendapatkan pelayanan reunifikasi keluarga kewenangan kabupaten/kota</t>
  </si>
  <si>
    <t>Jumlah peserta bimbingan fisik, mental, spriritual, dan sosial kewenangan kabupaten/kota</t>
  </si>
  <si>
    <t>Jumlah orang yang mendapatkan akses ke layanan pendidikan dan kesehatan dasar kewenangan kabupaten/kota</t>
  </si>
  <si>
    <t>1.06.04.2.01.11</t>
  </si>
  <si>
    <t>Pemberian Pelayanan Penelusuran Keluarga</t>
  </si>
  <si>
    <t>Jumlah orang yang mendapatkan pelayanan penelusuran keluarga kewenangan kabupaten/kota</t>
  </si>
  <si>
    <t>1.06.04.2.01.12</t>
  </si>
  <si>
    <t>Pemberian Layanan Rujukan</t>
  </si>
  <si>
    <t>Jumlah orang yang mendapatkan layanan rujukan kewenangan kabupaten/kota</t>
  </si>
  <si>
    <t>Persentase PPKS di luar indikator SPM yang direhabilitasi</t>
  </si>
  <si>
    <t>Jumlah peserta dalam pemberian bimbingan sosial kepada keluarga Penyandang Masalah Kesejahteraan Sosial (PMKS) Lainnya bukan korban HIV/AIDS dan NAPZA kewenangan kabupaten/kota</t>
  </si>
  <si>
    <t>Persentase daerah yang aktif melakukan pemutakhiran data terpadu penanggulangan kemiskinan</t>
  </si>
  <si>
    <t>Jumlah fakir miskin cakupan daerah kabupaten/kota</t>
  </si>
  <si>
    <t>Jumlah Keluarga Penerima Manfaat (KPM) yang mendapatkan bantuan sosial kesejahteraan keluarga kewenangan kabupaten/kota</t>
  </si>
  <si>
    <t>Jumlah warga negara korban bencana alam dan sosial yang terpenuhi kebutuhan dasarnya pada saat dan setelah tanggap darurat bencana daerah kabupaten/kota</t>
  </si>
  <si>
    <t>Jumlah orang yang mendapatkan permakanan 3x1 hari dalam masa tanggap darurat (pengungsian) kewenangan kabupaten/kota</t>
  </si>
  <si>
    <t>Jumlah korban bencana yang mendapatkan layanan dukungan psikososial kewenangan kabupaten/kota</t>
  </si>
  <si>
    <t>1.06.06.2.02</t>
  </si>
  <si>
    <t>Penyelenggaraan Pemberdayaan Masyarakat Terhadap Kesiapsiagaan Bencana Kabupaten/Kota</t>
  </si>
  <si>
    <t>Jumlah Kampung Siaga Bencana yang terbina</t>
  </si>
  <si>
    <t>Kampung</t>
  </si>
  <si>
    <t>1.06.06.2.02.02</t>
  </si>
  <si>
    <t>Koordinasi, Sosialisasi dan Pelaksanaan Taruna Siaga Bencana</t>
  </si>
  <si>
    <t>Jumlah orang yang melaksanakan koordinasi, sosialisasi dan pelaksanaan Taruna Siaga Bencana kewenangan kabupaten/kota</t>
  </si>
  <si>
    <t>VI</t>
  </si>
  <si>
    <t>PROGRAM PENGELOLAAN TAMAN MAKAM PAHLAWAN</t>
  </si>
  <si>
    <t>Persentase pemenuhan standar sarana dan prasarana Taman Makam Pahlawan</t>
  </si>
  <si>
    <t>1.06.07.2.01</t>
  </si>
  <si>
    <t>Pemeliharaan Taman Makam Pahlawan Nasional Kabupaten/Kota</t>
  </si>
  <si>
    <t>Jumlah sarana dan prasarana TMP yang memenuhi standar</t>
  </si>
  <si>
    <t>Komponen</t>
  </si>
  <si>
    <t>1.06.07.2.01.02</t>
  </si>
  <si>
    <t>Jumlah makam yang terpenuhi pemeliharaannya pada Taman Makam Pahlawan nasional kabupaten/kota</t>
  </si>
  <si>
    <t>makam</t>
  </si>
  <si>
    <t>peserta</t>
  </si>
  <si>
    <t>PPKS</t>
  </si>
  <si>
    <t>Fakir Miskin</t>
  </si>
  <si>
    <t>Lansia</t>
  </si>
  <si>
    <t>Gepeng</t>
  </si>
  <si>
    <t>Disabilitas</t>
  </si>
  <si>
    <t>Anak Telantar</t>
  </si>
  <si>
    <t>Cilacap,       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</si>
</sst>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(&quot;Rp&quot;* #,##0_);_(&quot;Rp&quot;* \(#,##0\);_(&quot;Rp&quot;* &quot;-&quot;_);_(@_)"/>
    <numFmt numFmtId="165" formatCode="_(* #,##0_);_(* \(#,##0\);_(* &quot;-&quot;_);_(@_)"/>
    <numFmt numFmtId="166" formatCode="_(* #,##0.00_);_(* \(#,##0.00\);_(* &quot;-&quot;??_);_(@_)"/>
    <numFmt numFmtId="167" formatCode="_(* #,##0.00_);_(* \(#,##0.00\);_(* &quot;-&quot;_);_(@_)"/>
    <numFmt numFmtId="168" formatCode="#,##0.000"/>
    <numFmt numFmtId="169" formatCode="_-* #,##0.000_-;\-* #,##0.000_-;_-* &quot;-&quot;_-;_-@_-"/>
    <numFmt numFmtId="170" formatCode="_-* #,##0.000_-;\-* #,##0.000_-;_-* &quot;-&quot;???_-;_-@_-"/>
    <numFmt numFmtId="171" formatCode="#,##0.0"/>
    <numFmt numFmtId="172" formatCode="_-* #,##0.0_-;\-* #,##0.0_-;_-* &quot;-&quot;_-;_-@_-"/>
    <numFmt numFmtId="173" formatCode="0.0"/>
    <numFmt numFmtId="174" formatCode="_(&quot;$&quot;* #,##0.00_);_(&quot;$&quot;* \(#,##0.00\);_(&quot;$&quot;* &quot;-&quot;??_);_(@_)"/>
    <numFmt numFmtId="175" formatCode="_-* #,##0_-;\-* #,##0_-;_-* &quot;-&quot;??_-;_-@_-"/>
    <numFmt numFmtId="176" formatCode="_(* #,##0_);_(* \(#,##0\);_(* &quot;-&quot;??_);_(@_)"/>
    <numFmt numFmtId="177" formatCode="_-* #,##0.00_-;\-* #,##0.00_-;_-* &quot;-&quot;_-;_-@_-"/>
    <numFmt numFmtId="178" formatCode="#,##0.00_ ;\-#,##0.00\ "/>
    <numFmt numFmtId="179" formatCode="0.0000"/>
    <numFmt numFmtId="180" formatCode="_-* #,##0.00000_-;\-* #,##0.00000_-;_-* &quot;-&quot;_-;_-@_-"/>
    <numFmt numFmtId="181" formatCode="0.00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b/>
      <sz val="8"/>
      <color rgb="FF080000"/>
      <name val="Arial"/>
      <family val="2"/>
    </font>
    <font>
      <sz val="8"/>
      <color rgb="FF080000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Bookman Old Style"/>
      <family val="1"/>
    </font>
    <font>
      <sz val="11"/>
      <color theme="1"/>
      <name val="Arial"/>
      <family val="2"/>
    </font>
    <font>
      <sz val="12"/>
      <color rgb="FF000000"/>
      <name val="Bookman Old Style"/>
      <family val="1"/>
    </font>
    <font>
      <b/>
      <sz val="12"/>
      <color rgb="FF000000"/>
      <name val="Bookman Old Style"/>
      <family val="1"/>
    </font>
    <font>
      <b/>
      <sz val="12"/>
      <color theme="0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sz val="12"/>
      <color theme="1"/>
      <name val="Bookman Old Style"/>
      <family val="1"/>
    </font>
    <font>
      <b/>
      <i/>
      <sz val="10"/>
      <name val="Bookman Old Style"/>
      <family val="1"/>
    </font>
    <font>
      <b/>
      <sz val="14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b/>
      <i/>
      <sz val="10"/>
      <color theme="1"/>
      <name val="Bookman Old Style"/>
      <family val="1"/>
    </font>
    <font>
      <b/>
      <sz val="10"/>
      <color rgb="FF000000"/>
      <name val="Bookman Old Style"/>
      <family val="1"/>
    </font>
    <font>
      <b/>
      <sz val="10"/>
      <color indexed="8"/>
      <name val="Bookman Old Style"/>
      <family val="1"/>
    </font>
    <font>
      <b/>
      <i/>
      <sz val="10"/>
      <color indexed="8"/>
      <name val="Bookman Old Style"/>
      <family val="1"/>
    </font>
    <font>
      <b/>
      <sz val="10"/>
      <color rgb="FFFF0000"/>
      <name val="Bookman Old Style"/>
      <family val="1"/>
    </font>
    <font>
      <i/>
      <sz val="10"/>
      <color theme="1"/>
      <name val="Bookman Old Style"/>
      <family val="1"/>
    </font>
    <font>
      <sz val="10"/>
      <color rgb="FF000000"/>
      <name val="Bookman Old Style"/>
      <family val="1"/>
    </font>
    <font>
      <sz val="10"/>
      <color indexed="8"/>
      <name val="Bookman Old Style"/>
      <family val="1"/>
    </font>
    <font>
      <sz val="10"/>
      <color theme="0"/>
      <name val="Bookman Old Style"/>
      <family val="1"/>
    </font>
    <font>
      <sz val="10"/>
      <name val="Bookman Old Style"/>
      <family val="1"/>
    </font>
    <font>
      <sz val="10"/>
      <color rgb="FFFF0000"/>
      <name val="Bookman Old Style"/>
      <family val="1"/>
    </font>
    <font>
      <b/>
      <sz val="10"/>
      <color theme="0"/>
      <name val="Bookman Old Style"/>
      <family val="1"/>
    </font>
    <font>
      <sz val="10"/>
      <color theme="2"/>
      <name val="Bookman Old Style"/>
      <family val="1"/>
    </font>
    <font>
      <b/>
      <i/>
      <sz val="10"/>
      <color theme="0"/>
      <name val="Bookman Old Style"/>
      <family val="1"/>
    </font>
    <font>
      <sz val="12"/>
      <color theme="1"/>
      <name val="Bookman Old Style"/>
      <family val="1"/>
    </font>
    <font>
      <b/>
      <u/>
      <sz val="12"/>
      <color indexed="8"/>
      <name val="Bookman Old Style"/>
      <family val="1"/>
    </font>
    <font>
      <i/>
      <sz val="12"/>
      <name val="Bookman Old Style"/>
      <family val="1"/>
    </font>
    <font>
      <b/>
      <i/>
      <sz val="12"/>
      <name val="Bookman Old Style"/>
      <family val="1"/>
    </font>
    <font>
      <sz val="12"/>
      <color indexed="8"/>
      <name val="Bookman Old Style"/>
      <family val="1"/>
    </font>
    <font>
      <i/>
      <sz val="12"/>
      <color rgb="FF000000"/>
      <name val="Bookman Old Style"/>
      <family val="1"/>
    </font>
    <font>
      <i/>
      <sz val="12"/>
      <color theme="1"/>
      <name val="Bookman Old Style"/>
      <family val="1"/>
    </font>
    <font>
      <i/>
      <sz val="12"/>
      <color indexed="8"/>
      <name val="Bookman Old Style"/>
      <family val="1"/>
    </font>
    <font>
      <i/>
      <sz val="12"/>
      <color rgb="FFFF0000"/>
      <name val="Bookman Old Style"/>
      <family val="1"/>
    </font>
    <font>
      <b/>
      <i/>
      <sz val="12"/>
      <color theme="1"/>
      <name val="Bookman Old Style"/>
      <family val="1"/>
    </font>
    <font>
      <sz val="18"/>
      <color theme="0"/>
      <name val="Bookman Old Style"/>
      <family val="1"/>
    </font>
    <font>
      <b/>
      <u/>
      <sz val="18"/>
      <color theme="0"/>
      <name val="Bookman Old Style"/>
      <family val="1"/>
    </font>
    <font>
      <b/>
      <sz val="14"/>
      <color theme="0"/>
      <name val="Bookman Old Style"/>
      <family val="1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2"/>
      <name val="Arial"/>
      <family val="2"/>
    </font>
    <font>
      <b/>
      <sz val="11"/>
      <color theme="1"/>
      <name val="Arial"/>
      <family val="2"/>
    </font>
    <font>
      <sz val="18"/>
      <color indexed="8"/>
      <name val="Arial"/>
      <family val="2"/>
    </font>
    <font>
      <b/>
      <u/>
      <sz val="18"/>
      <color indexed="8"/>
      <name val="Arial"/>
      <family val="2"/>
    </font>
    <font>
      <b/>
      <u/>
      <sz val="12"/>
      <color indexed="8"/>
      <name val="Arial"/>
      <family val="2"/>
    </font>
    <font>
      <sz val="9"/>
      <color indexed="81"/>
      <name val="Tahoma"/>
      <family val="2"/>
    </font>
    <font>
      <b/>
      <i/>
      <sz val="10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9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9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5" fillId="0" borderId="0">
      <alignment vertical="top"/>
    </xf>
    <xf numFmtId="0" fontId="4" fillId="0" borderId="0"/>
    <xf numFmtId="0" fontId="4" fillId="0" borderId="0"/>
    <xf numFmtId="0" fontId="7" fillId="6" borderId="0">
      <alignment horizontal="left" vertical="top"/>
    </xf>
    <xf numFmtId="0" fontId="8" fillId="6" borderId="0">
      <alignment horizontal="left" vertical="top"/>
    </xf>
    <xf numFmtId="0" fontId="9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1" fillId="0" borderId="0"/>
    <xf numFmtId="164" fontId="9" fillId="0" borderId="0" applyFont="0" applyFill="0" applyBorder="0" applyAlignment="0" applyProtection="0"/>
    <xf numFmtId="0" fontId="3" fillId="0" borderId="0">
      <alignment vertical="center"/>
    </xf>
    <xf numFmtId="0" fontId="1" fillId="0" borderId="0"/>
  </cellStyleXfs>
  <cellXfs count="1045">
    <xf numFmtId="0" fontId="0" fillId="0" borderId="0" xfId="0"/>
    <xf numFmtId="0" fontId="13" fillId="0" borderId="0" xfId="12" applyFont="1" applyAlignment="1">
      <alignment vertical="top" wrapText="1"/>
    </xf>
    <xf numFmtId="175" fontId="13" fillId="5" borderId="0" xfId="13" applyNumberFormat="1" applyFont="1" applyFill="1" applyBorder="1" applyAlignment="1">
      <alignment vertical="top" wrapText="1"/>
    </xf>
    <xf numFmtId="175" fontId="14" fillId="0" borderId="0" xfId="12" applyNumberFormat="1" applyFont="1" applyAlignment="1">
      <alignment vertical="top" wrapText="1"/>
    </xf>
    <xf numFmtId="0" fontId="13" fillId="0" borderId="0" xfId="12" applyFont="1" applyAlignment="1">
      <alignment horizontal="center" vertical="top" wrapText="1"/>
    </xf>
    <xf numFmtId="0" fontId="16" fillId="0" borderId="16" xfId="12" applyFont="1" applyBorder="1" applyAlignment="1">
      <alignment horizontal="left" vertical="top" wrapText="1"/>
    </xf>
    <xf numFmtId="0" fontId="16" fillId="0" borderId="16" xfId="12" applyFont="1" applyBorder="1" applyAlignment="1">
      <alignment horizontal="center" vertical="top" wrapText="1"/>
    </xf>
    <xf numFmtId="41" fontId="16" fillId="0" borderId="8" xfId="14" applyFont="1" applyFill="1" applyBorder="1" applyAlignment="1">
      <alignment vertical="top" wrapText="1"/>
    </xf>
    <xf numFmtId="0" fontId="13" fillId="0" borderId="16" xfId="12" applyFont="1" applyBorder="1" applyAlignment="1">
      <alignment horizontal="center" vertical="top" wrapText="1"/>
    </xf>
    <xf numFmtId="0" fontId="15" fillId="0" borderId="16" xfId="12" applyFont="1" applyBorder="1" applyAlignment="1">
      <alignment horizontal="left" vertical="top" wrapText="1"/>
    </xf>
    <xf numFmtId="0" fontId="15" fillId="0" borderId="16" xfId="12" applyFont="1" applyBorder="1" applyAlignment="1">
      <alignment horizontal="center" vertical="top" wrapText="1"/>
    </xf>
    <xf numFmtId="0" fontId="12" fillId="0" borderId="16" xfId="12" applyFont="1" applyBorder="1" applyAlignment="1">
      <alignment horizontal="center" vertical="top" wrapText="1"/>
    </xf>
    <xf numFmtId="41" fontId="15" fillId="0" borderId="8" xfId="14" applyFont="1" applyBorder="1" applyAlignment="1">
      <alignment horizontal="left" vertical="top" wrapText="1"/>
    </xf>
    <xf numFmtId="0" fontId="15" fillId="0" borderId="8" xfId="12" applyFont="1" applyBorder="1" applyAlignment="1">
      <alignment vertical="top" wrapText="1"/>
    </xf>
    <xf numFmtId="0" fontId="15" fillId="0" borderId="8" xfId="12" applyFont="1" applyBorder="1" applyAlignment="1">
      <alignment horizontal="center" vertical="top" wrapText="1"/>
    </xf>
    <xf numFmtId="0" fontId="17" fillId="0" borderId="8" xfId="12" applyFont="1" applyBorder="1" applyAlignment="1">
      <alignment horizontal="left" vertical="top" wrapText="1"/>
    </xf>
    <xf numFmtId="176" fontId="17" fillId="0" borderId="8" xfId="13" applyNumberFormat="1" applyFont="1" applyFill="1" applyBorder="1" applyAlignment="1">
      <alignment horizontal="center" vertical="top" wrapText="1"/>
    </xf>
    <xf numFmtId="0" fontId="12" fillId="0" borderId="0" xfId="12" applyFont="1" applyAlignment="1">
      <alignment vertical="top" wrapText="1"/>
    </xf>
    <xf numFmtId="0" fontId="15" fillId="0" borderId="0" xfId="12" applyFont="1" applyAlignment="1">
      <alignment vertical="top" wrapText="1"/>
    </xf>
    <xf numFmtId="0" fontId="12" fillId="0" borderId="16" xfId="12" quotePrefix="1" applyFont="1" applyBorder="1" applyAlignment="1">
      <alignment horizontal="center" vertical="top" wrapText="1"/>
    </xf>
    <xf numFmtId="0" fontId="15" fillId="0" borderId="16" xfId="12" quotePrefix="1" applyFont="1" applyBorder="1" applyAlignment="1">
      <alignment horizontal="center" vertical="top" wrapText="1"/>
    </xf>
    <xf numFmtId="0" fontId="12" fillId="0" borderId="0" xfId="12" applyFont="1" applyAlignment="1">
      <alignment horizontal="right" vertical="top" wrapText="1"/>
    </xf>
    <xf numFmtId="0" fontId="12" fillId="0" borderId="0" xfId="12" applyFont="1" applyAlignment="1">
      <alignment horizontal="center" vertical="top" wrapText="1"/>
    </xf>
    <xf numFmtId="41" fontId="12" fillId="0" borderId="0" xfId="12" applyNumberFormat="1" applyFont="1" applyAlignment="1">
      <alignment vertical="top" wrapText="1"/>
    </xf>
    <xf numFmtId="41" fontId="12" fillId="0" borderId="0" xfId="12" applyNumberFormat="1" applyFont="1" applyAlignment="1">
      <alignment horizontal="center" vertical="top" wrapText="1"/>
    </xf>
    <xf numFmtId="0" fontId="12" fillId="0" borderId="19" xfId="12" applyFont="1" applyBorder="1" applyAlignment="1">
      <alignment horizontal="left" vertical="top" wrapText="1"/>
    </xf>
    <xf numFmtId="0" fontId="15" fillId="0" borderId="19" xfId="12" applyFont="1" applyBorder="1" applyAlignment="1">
      <alignment horizontal="left" vertical="top" wrapText="1"/>
    </xf>
    <xf numFmtId="0" fontId="12" fillId="0" borderId="8" xfId="12" applyFont="1" applyBorder="1" applyAlignment="1">
      <alignment horizontal="center" vertical="top" wrapText="1"/>
    </xf>
    <xf numFmtId="0" fontId="15" fillId="0" borderId="8" xfId="12" applyFont="1" applyBorder="1" applyAlignment="1">
      <alignment horizontal="left" vertical="top" wrapText="1"/>
    </xf>
    <xf numFmtId="0" fontId="16" fillId="0" borderId="8" xfId="12" applyFont="1" applyBorder="1" applyAlignment="1">
      <alignment horizontal="left" vertical="top" wrapText="1"/>
    </xf>
    <xf numFmtId="0" fontId="15" fillId="0" borderId="1" xfId="12" applyFont="1" applyBorder="1" applyAlignment="1">
      <alignment horizontal="left" vertical="top" wrapText="1"/>
    </xf>
    <xf numFmtId="0" fontId="15" fillId="0" borderId="1" xfId="12" applyFont="1" applyBorder="1" applyAlignment="1">
      <alignment horizontal="center" vertical="top" wrapText="1"/>
    </xf>
    <xf numFmtId="0" fontId="13" fillId="11" borderId="8" xfId="1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 wrapText="1"/>
    </xf>
    <xf numFmtId="167" fontId="21" fillId="0" borderId="8" xfId="0" applyNumberFormat="1" applyFont="1" applyBorder="1" applyAlignment="1">
      <alignment horizontal="center" vertical="center" wrapText="1"/>
    </xf>
    <xf numFmtId="168" fontId="21" fillId="0" borderId="0" xfId="0" applyNumberFormat="1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11" borderId="8" xfId="0" applyFont="1" applyFill="1" applyBorder="1" applyAlignment="1">
      <alignment horizontal="center" vertical="center"/>
    </xf>
    <xf numFmtId="49" fontId="24" fillId="13" borderId="8" xfId="18" applyNumberFormat="1" applyFont="1" applyFill="1" applyBorder="1" applyAlignment="1">
      <alignment horizontal="left" vertical="center"/>
    </xf>
    <xf numFmtId="0" fontId="21" fillId="11" borderId="5" xfId="0" applyFont="1" applyFill="1" applyBorder="1" applyAlignment="1">
      <alignment vertical="center" wrapText="1"/>
    </xf>
    <xf numFmtId="0" fontId="25" fillId="11" borderId="8" xfId="0" applyFont="1" applyFill="1" applyBorder="1" applyAlignment="1">
      <alignment horizontal="left" vertical="center" wrapText="1"/>
    </xf>
    <xf numFmtId="0" fontId="23" fillId="11" borderId="8" xfId="0" applyFont="1" applyFill="1" applyBorder="1" applyAlignment="1">
      <alignment vertical="center" wrapText="1"/>
    </xf>
    <xf numFmtId="0" fontId="23" fillId="11" borderId="8" xfId="0" applyFont="1" applyFill="1" applyBorder="1" applyAlignment="1">
      <alignment horizontal="center" vertical="center"/>
    </xf>
    <xf numFmtId="0" fontId="23" fillId="11" borderId="8" xfId="0" applyFont="1" applyFill="1" applyBorder="1" applyAlignment="1">
      <alignment horizontal="right" vertical="center"/>
    </xf>
    <xf numFmtId="168" fontId="23" fillId="11" borderId="8" xfId="0" applyNumberFormat="1" applyFont="1" applyFill="1" applyBorder="1" applyAlignment="1">
      <alignment horizontal="right" vertical="center"/>
    </xf>
    <xf numFmtId="1" fontId="23" fillId="11" borderId="8" xfId="0" applyNumberFormat="1" applyFont="1" applyFill="1" applyBorder="1" applyAlignment="1">
      <alignment horizontal="right" vertical="center"/>
    </xf>
    <xf numFmtId="3" fontId="23" fillId="11" borderId="8" xfId="0" applyNumberFormat="1" applyFont="1" applyFill="1" applyBorder="1" applyAlignment="1">
      <alignment horizontal="right" vertical="center"/>
    </xf>
    <xf numFmtId="4" fontId="23" fillId="11" borderId="8" xfId="0" applyNumberFormat="1" applyFont="1" applyFill="1" applyBorder="1" applyAlignment="1">
      <alignment horizontal="right" vertical="center"/>
    </xf>
    <xf numFmtId="0" fontId="22" fillId="11" borderId="8" xfId="0" applyFont="1" applyFill="1" applyBorder="1" applyAlignment="1">
      <alignment horizontal="right" vertical="center"/>
    </xf>
    <xf numFmtId="168" fontId="22" fillId="11" borderId="8" xfId="0" applyNumberFormat="1" applyFont="1" applyFill="1" applyBorder="1" applyAlignment="1">
      <alignment horizontal="right" vertical="center"/>
    </xf>
    <xf numFmtId="177" fontId="22" fillId="11" borderId="8" xfId="1" applyNumberFormat="1" applyFont="1" applyFill="1" applyBorder="1" applyAlignment="1">
      <alignment horizontal="right" vertical="center"/>
    </xf>
    <xf numFmtId="171" fontId="22" fillId="11" borderId="8" xfId="0" applyNumberFormat="1" applyFont="1" applyFill="1" applyBorder="1" applyAlignment="1">
      <alignment horizontal="right" vertical="center"/>
    </xf>
    <xf numFmtId="178" fontId="22" fillId="11" borderId="8" xfId="1" applyNumberFormat="1" applyFont="1" applyFill="1" applyBorder="1" applyAlignment="1">
      <alignment horizontal="right" vertical="center"/>
    </xf>
    <xf numFmtId="2" fontId="23" fillId="11" borderId="8" xfId="0" applyNumberFormat="1" applyFont="1" applyFill="1" applyBorder="1" applyAlignment="1">
      <alignment horizontal="right" vertical="center"/>
    </xf>
    <xf numFmtId="2" fontId="23" fillId="2" borderId="8" xfId="0" applyNumberFormat="1" applyFont="1" applyFill="1" applyBorder="1" applyAlignment="1">
      <alignment horizontal="right" vertical="center"/>
    </xf>
    <xf numFmtId="168" fontId="23" fillId="2" borderId="8" xfId="0" applyNumberFormat="1" applyFont="1" applyFill="1" applyBorder="1" applyAlignment="1">
      <alignment horizontal="right" vertical="center"/>
    </xf>
    <xf numFmtId="2" fontId="21" fillId="2" borderId="7" xfId="0" applyNumberFormat="1" applyFont="1" applyFill="1" applyBorder="1" applyAlignment="1">
      <alignment horizontal="right" vertical="center"/>
    </xf>
    <xf numFmtId="2" fontId="26" fillId="2" borderId="8" xfId="0" applyNumberFormat="1" applyFont="1" applyFill="1" applyBorder="1" applyAlignment="1">
      <alignment horizontal="right" vertical="center" wrapText="1"/>
    </xf>
    <xf numFmtId="0" fontId="21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69" fontId="21" fillId="0" borderId="0" xfId="0" applyNumberFormat="1" applyFont="1" applyAlignment="1">
      <alignment vertical="center"/>
    </xf>
    <xf numFmtId="170" fontId="27" fillId="0" borderId="0" xfId="0" applyNumberFormat="1" applyFont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24" fillId="4" borderId="1" xfId="18" applyFont="1" applyFill="1" applyBorder="1" applyAlignment="1">
      <alignment horizontal="left" vertical="center"/>
    </xf>
    <xf numFmtId="0" fontId="21" fillId="3" borderId="2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vertical="center" wrapText="1"/>
    </xf>
    <xf numFmtId="0" fontId="21" fillId="3" borderId="8" xfId="0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>
      <alignment horizontal="right" vertical="center"/>
    </xf>
    <xf numFmtId="168" fontId="27" fillId="3" borderId="1" xfId="0" applyNumberFormat="1" applyFont="1" applyFill="1" applyBorder="1" applyAlignment="1">
      <alignment horizontal="right" vertical="center"/>
    </xf>
    <xf numFmtId="0" fontId="27" fillId="3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right" vertical="center"/>
    </xf>
    <xf numFmtId="168" fontId="21" fillId="3" borderId="1" xfId="1" applyNumberFormat="1" applyFont="1" applyFill="1" applyBorder="1" applyAlignment="1">
      <alignment horizontal="right" vertical="center"/>
    </xf>
    <xf numFmtId="41" fontId="21" fillId="3" borderId="1" xfId="1" applyFont="1" applyFill="1" applyBorder="1" applyAlignment="1">
      <alignment horizontal="right" vertical="center"/>
    </xf>
    <xf numFmtId="177" fontId="21" fillId="3" borderId="8" xfId="1" applyNumberFormat="1" applyFont="1" applyFill="1" applyBorder="1" applyAlignment="1">
      <alignment horizontal="right" vertical="center"/>
    </xf>
    <xf numFmtId="172" fontId="21" fillId="3" borderId="1" xfId="1" applyNumberFormat="1" applyFont="1" applyFill="1" applyBorder="1" applyAlignment="1">
      <alignment horizontal="right" vertical="center"/>
    </xf>
    <xf numFmtId="4" fontId="23" fillId="3" borderId="1" xfId="0" applyNumberFormat="1" applyFont="1" applyFill="1" applyBorder="1" applyAlignment="1">
      <alignment horizontal="right" vertical="center"/>
    </xf>
    <xf numFmtId="168" fontId="21" fillId="3" borderId="1" xfId="0" applyNumberFormat="1" applyFont="1" applyFill="1" applyBorder="1" applyAlignment="1">
      <alignment horizontal="right" vertical="center"/>
    </xf>
    <xf numFmtId="169" fontId="28" fillId="0" borderId="0" xfId="1" applyNumberFormat="1" applyFont="1" applyFill="1" applyBorder="1" applyAlignment="1">
      <alignment vertical="center"/>
    </xf>
    <xf numFmtId="169" fontId="23" fillId="0" borderId="0" xfId="1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9" fillId="0" borderId="3" xfId="18" applyFont="1" applyBorder="1" applyAlignment="1">
      <alignment horizontal="left" vertical="center"/>
    </xf>
    <xf numFmtId="0" fontId="22" fillId="5" borderId="3" xfId="0" applyFont="1" applyFill="1" applyBorder="1" applyAlignment="1">
      <alignment vertical="center" wrapText="1"/>
    </xf>
    <xf numFmtId="0" fontId="30" fillId="6" borderId="3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31" fillId="0" borderId="1" xfId="0" applyFont="1" applyBorder="1" applyAlignment="1">
      <alignment horizontal="right" vertical="center"/>
    </xf>
    <xf numFmtId="168" fontId="3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168" fontId="32" fillId="0" borderId="4" xfId="0" applyNumberFormat="1" applyFont="1" applyBorder="1" applyAlignment="1">
      <alignment horizontal="right" vertical="center"/>
    </xf>
    <xf numFmtId="168" fontId="20" fillId="0" borderId="1" xfId="0" applyNumberFormat="1" applyFont="1" applyBorder="1" applyAlignment="1">
      <alignment horizontal="right" vertical="center"/>
    </xf>
    <xf numFmtId="168" fontId="20" fillId="0" borderId="4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right" vertical="center"/>
    </xf>
    <xf numFmtId="168" fontId="32" fillId="0" borderId="1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2" fontId="20" fillId="0" borderId="2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1" fontId="31" fillId="0" borderId="3" xfId="0" applyNumberFormat="1" applyFont="1" applyBorder="1" applyAlignment="1">
      <alignment horizontal="right" vertical="center"/>
    </xf>
    <xf numFmtId="2" fontId="31" fillId="0" borderId="1" xfId="0" applyNumberFormat="1" applyFont="1" applyBorder="1" applyAlignment="1">
      <alignment horizontal="right" vertical="center"/>
    </xf>
    <xf numFmtId="4" fontId="31" fillId="0" borderId="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9" fillId="0" borderId="13" xfId="18" applyFont="1" applyBorder="1" applyAlignment="1">
      <alignment horizontal="left" vertical="center"/>
    </xf>
    <xf numFmtId="0" fontId="22" fillId="5" borderId="13" xfId="0" applyFont="1" applyFill="1" applyBorder="1" applyAlignment="1">
      <alignment vertical="center" wrapText="1"/>
    </xf>
    <xf numFmtId="0" fontId="30" fillId="6" borderId="13" xfId="0" applyFont="1" applyFill="1" applyBorder="1" applyAlignment="1">
      <alignment horizontal="left" vertical="center" wrapText="1"/>
    </xf>
    <xf numFmtId="0" fontId="31" fillId="0" borderId="15" xfId="0" applyFont="1" applyBorder="1" applyAlignment="1">
      <alignment horizontal="right" vertical="center"/>
    </xf>
    <xf numFmtId="168" fontId="31" fillId="0" borderId="15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168" fontId="32" fillId="0" borderId="14" xfId="0" applyNumberFormat="1" applyFont="1" applyBorder="1" applyAlignment="1">
      <alignment horizontal="right" vertical="center"/>
    </xf>
    <xf numFmtId="168" fontId="20" fillId="0" borderId="15" xfId="0" applyNumberFormat="1" applyFont="1" applyBorder="1" applyAlignment="1">
      <alignment horizontal="right" vertical="center"/>
    </xf>
    <xf numFmtId="168" fontId="20" fillId="0" borderId="14" xfId="0" applyNumberFormat="1" applyFont="1" applyBorder="1" applyAlignment="1">
      <alignment horizontal="right" vertical="center"/>
    </xf>
    <xf numFmtId="0" fontId="32" fillId="0" borderId="15" xfId="0" applyFont="1" applyBorder="1" applyAlignment="1">
      <alignment horizontal="right" vertical="center"/>
    </xf>
    <xf numFmtId="168" fontId="32" fillId="0" borderId="15" xfId="0" applyNumberFormat="1" applyFont="1" applyBorder="1" applyAlignment="1">
      <alignment horizontal="right" vertical="center"/>
    </xf>
    <xf numFmtId="3" fontId="20" fillId="0" borderId="15" xfId="0" applyNumberFormat="1" applyFont="1" applyBorder="1" applyAlignment="1">
      <alignment horizontal="right" vertical="center"/>
    </xf>
    <xf numFmtId="4" fontId="20" fillId="0" borderId="15" xfId="0" applyNumberFormat="1" applyFont="1" applyBorder="1" applyAlignment="1">
      <alignment horizontal="right" vertical="center"/>
    </xf>
    <xf numFmtId="1" fontId="31" fillId="0" borderId="13" xfId="0" applyNumberFormat="1" applyFont="1" applyBorder="1" applyAlignment="1">
      <alignment horizontal="right" vertical="center"/>
    </xf>
    <xf numFmtId="2" fontId="31" fillId="0" borderId="15" xfId="0" applyNumberFormat="1" applyFont="1" applyBorder="1" applyAlignment="1">
      <alignment horizontal="right" vertical="center"/>
    </xf>
    <xf numFmtId="4" fontId="31" fillId="0" borderId="15" xfId="0" applyNumberFormat="1" applyFont="1" applyBorder="1" applyAlignment="1">
      <alignment horizontal="right" vertical="center"/>
    </xf>
    <xf numFmtId="0" fontId="29" fillId="0" borderId="15" xfId="18" applyFont="1" applyBorder="1" applyAlignment="1">
      <alignment horizontal="left" vertical="center"/>
    </xf>
    <xf numFmtId="0" fontId="22" fillId="5" borderId="12" xfId="0" applyFont="1" applyFill="1" applyBorder="1" applyAlignment="1">
      <alignment vertical="center" wrapText="1"/>
    </xf>
    <xf numFmtId="0" fontId="30" fillId="6" borderId="15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/>
    </xf>
    <xf numFmtId="171" fontId="20" fillId="0" borderId="8" xfId="0" applyNumberFormat="1" applyFont="1" applyBorder="1" applyAlignment="1">
      <alignment horizontal="right" vertical="center"/>
    </xf>
    <xf numFmtId="171" fontId="20" fillId="0" borderId="15" xfId="0" applyNumberFormat="1" applyFont="1" applyBorder="1" applyAlignment="1">
      <alignment horizontal="right" vertical="center"/>
    </xf>
    <xf numFmtId="2" fontId="20" fillId="0" borderId="15" xfId="0" applyNumberFormat="1" applyFont="1" applyBorder="1" applyAlignment="1">
      <alignment horizontal="right" vertical="center"/>
    </xf>
    <xf numFmtId="1" fontId="31" fillId="0" borderId="15" xfId="0" applyNumberFormat="1" applyFont="1" applyBorder="1" applyAlignment="1">
      <alignment horizontal="right" vertical="center"/>
    </xf>
    <xf numFmtId="2" fontId="31" fillId="0" borderId="13" xfId="0" applyNumberFormat="1" applyFont="1" applyBorder="1" applyAlignment="1">
      <alignment horizontal="right" vertical="center"/>
    </xf>
    <xf numFmtId="0" fontId="26" fillId="11" borderId="8" xfId="0" applyFont="1" applyFill="1" applyBorder="1" applyAlignment="1">
      <alignment horizontal="right" vertical="center" wrapText="1"/>
    </xf>
    <xf numFmtId="0" fontId="18" fillId="11" borderId="8" xfId="0" applyFont="1" applyFill="1" applyBorder="1" applyAlignment="1">
      <alignment horizontal="right" vertical="center"/>
    </xf>
    <xf numFmtId="168" fontId="18" fillId="11" borderId="8" xfId="0" applyNumberFormat="1" applyFont="1" applyFill="1" applyBorder="1" applyAlignment="1">
      <alignment horizontal="right" vertical="center"/>
    </xf>
    <xf numFmtId="169" fontId="18" fillId="11" borderId="8" xfId="1" applyNumberFormat="1" applyFont="1" applyFill="1" applyBorder="1" applyAlignment="1">
      <alignment horizontal="right" vertical="center"/>
    </xf>
    <xf numFmtId="172" fontId="18" fillId="11" borderId="8" xfId="1" applyNumberFormat="1" applyFont="1" applyFill="1" applyBorder="1" applyAlignment="1">
      <alignment horizontal="right" vertical="center"/>
    </xf>
    <xf numFmtId="169" fontId="20" fillId="0" borderId="0" xfId="1" applyNumberFormat="1" applyFont="1" applyFill="1" applyBorder="1" applyAlignment="1">
      <alignment horizontal="right" vertical="center"/>
    </xf>
    <xf numFmtId="0" fontId="20" fillId="3" borderId="8" xfId="0" applyFont="1" applyFill="1" applyBorder="1" applyAlignment="1">
      <alignment horizontal="center" vertical="center"/>
    </xf>
    <xf numFmtId="0" fontId="29" fillId="3" borderId="8" xfId="18" applyFont="1" applyFill="1" applyBorder="1" applyAlignment="1">
      <alignment horizontal="left" vertical="center"/>
    </xf>
    <xf numFmtId="0" fontId="32" fillId="3" borderId="5" xfId="0" applyFont="1" applyFill="1" applyBorder="1" applyAlignment="1">
      <alignment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33" fillId="3" borderId="8" xfId="0" applyFont="1" applyFill="1" applyBorder="1" applyAlignment="1">
      <alignment horizontal="right" vertical="center"/>
    </xf>
    <xf numFmtId="168" fontId="33" fillId="3" borderId="8" xfId="0" applyNumberFormat="1" applyFont="1" applyFill="1" applyBorder="1" applyAlignment="1">
      <alignment horizontal="right" vertical="center"/>
    </xf>
    <xf numFmtId="0" fontId="20" fillId="3" borderId="8" xfId="0" applyFont="1" applyFill="1" applyBorder="1" applyAlignment="1">
      <alignment horizontal="right" vertical="center"/>
    </xf>
    <xf numFmtId="168" fontId="21" fillId="3" borderId="8" xfId="0" applyNumberFormat="1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right" vertical="center"/>
    </xf>
    <xf numFmtId="168" fontId="21" fillId="3" borderId="8" xfId="1" applyNumberFormat="1" applyFont="1" applyFill="1" applyBorder="1" applyAlignment="1">
      <alignment horizontal="right" vertical="center"/>
    </xf>
    <xf numFmtId="169" fontId="21" fillId="3" borderId="8" xfId="1" applyNumberFormat="1" applyFont="1" applyFill="1" applyBorder="1" applyAlignment="1">
      <alignment horizontal="right" vertical="center"/>
    </xf>
    <xf numFmtId="41" fontId="21" fillId="3" borderId="8" xfId="1" applyFont="1" applyFill="1" applyBorder="1" applyAlignment="1">
      <alignment horizontal="right" vertical="center"/>
    </xf>
    <xf numFmtId="4" fontId="23" fillId="3" borderId="8" xfId="0" applyNumberFormat="1" applyFont="1" applyFill="1" applyBorder="1" applyAlignment="1">
      <alignment horizontal="right" vertical="center"/>
    </xf>
    <xf numFmtId="2" fontId="23" fillId="3" borderId="8" xfId="0" applyNumberFormat="1" applyFont="1" applyFill="1" applyBorder="1" applyAlignment="1">
      <alignment horizontal="right" vertical="center"/>
    </xf>
    <xf numFmtId="168" fontId="20" fillId="3" borderId="8" xfId="0" applyNumberFormat="1" applyFont="1" applyFill="1" applyBorder="1" applyAlignment="1">
      <alignment horizontal="right" vertical="center"/>
    </xf>
    <xf numFmtId="2" fontId="20" fillId="3" borderId="7" xfId="0" applyNumberFormat="1" applyFont="1" applyFill="1" applyBorder="1" applyAlignment="1">
      <alignment horizontal="right" vertical="center"/>
    </xf>
    <xf numFmtId="4" fontId="20" fillId="3" borderId="8" xfId="0" applyNumberFormat="1" applyFont="1" applyFill="1" applyBorder="1" applyAlignment="1">
      <alignment horizontal="right" vertical="center"/>
    </xf>
    <xf numFmtId="0" fontId="29" fillId="0" borderId="8" xfId="18" applyFont="1" applyBorder="1" applyAlignment="1">
      <alignment horizontal="left" vertical="center"/>
    </xf>
    <xf numFmtId="0" fontId="32" fillId="5" borderId="5" xfId="0" applyFont="1" applyFill="1" applyBorder="1" applyAlignment="1">
      <alignment vertical="center" wrapText="1"/>
    </xf>
    <xf numFmtId="0" fontId="30" fillId="6" borderId="8" xfId="0" applyFont="1" applyFill="1" applyBorder="1" applyAlignment="1">
      <alignment horizontal="left" vertical="center" wrapText="1"/>
    </xf>
    <xf numFmtId="0" fontId="33" fillId="0" borderId="8" xfId="0" applyFont="1" applyBorder="1" applyAlignment="1">
      <alignment horizontal="right" vertical="center"/>
    </xf>
    <xf numFmtId="168" fontId="33" fillId="0" borderId="8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168" fontId="20" fillId="0" borderId="8" xfId="0" applyNumberFormat="1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/>
    </xf>
    <xf numFmtId="168" fontId="32" fillId="0" borderId="8" xfId="0" applyNumberFormat="1" applyFont="1" applyBorder="1" applyAlignment="1">
      <alignment horizontal="right" vertical="center"/>
    </xf>
    <xf numFmtId="2" fontId="20" fillId="0" borderId="8" xfId="0" applyNumberFormat="1" applyFont="1" applyBorder="1" applyAlignment="1">
      <alignment horizontal="right" vertical="center"/>
    </xf>
    <xf numFmtId="4" fontId="20" fillId="0" borderId="8" xfId="0" applyNumberFormat="1" applyFont="1" applyBorder="1" applyAlignment="1">
      <alignment horizontal="right" vertical="center"/>
    </xf>
    <xf numFmtId="2" fontId="23" fillId="0" borderId="8" xfId="0" applyNumberFormat="1" applyFont="1" applyBorder="1" applyAlignment="1">
      <alignment horizontal="right" vertical="center"/>
    </xf>
    <xf numFmtId="168" fontId="31" fillId="0" borderId="8" xfId="0" applyNumberFormat="1" applyFont="1" applyBorder="1" applyAlignment="1">
      <alignment horizontal="right" vertical="center"/>
    </xf>
    <xf numFmtId="2" fontId="31" fillId="0" borderId="7" xfId="0" applyNumberFormat="1" applyFont="1" applyBorder="1" applyAlignment="1">
      <alignment horizontal="right" vertical="center"/>
    </xf>
    <xf numFmtId="4" fontId="31" fillId="0" borderId="8" xfId="0" applyNumberFormat="1" applyFont="1" applyBorder="1" applyAlignment="1">
      <alignment horizontal="right" vertical="center"/>
    </xf>
    <xf numFmtId="0" fontId="24" fillId="2" borderId="8" xfId="18" applyFont="1" applyFill="1" applyBorder="1" applyAlignment="1">
      <alignment horizontal="left" vertical="center"/>
    </xf>
    <xf numFmtId="0" fontId="22" fillId="2" borderId="5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3" fillId="2" borderId="8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right" vertical="center"/>
    </xf>
    <xf numFmtId="3" fontId="23" fillId="2" borderId="8" xfId="0" applyNumberFormat="1" applyFont="1" applyFill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168" fontId="18" fillId="2" borderId="8" xfId="0" applyNumberFormat="1" applyFont="1" applyFill="1" applyBorder="1" applyAlignment="1">
      <alignment horizontal="right" vertical="center"/>
    </xf>
    <xf numFmtId="1" fontId="18" fillId="2" borderId="8" xfId="0" applyNumberFormat="1" applyFont="1" applyFill="1" applyBorder="1" applyAlignment="1">
      <alignment horizontal="right" vertical="center"/>
    </xf>
    <xf numFmtId="3" fontId="18" fillId="2" borderId="8" xfId="0" applyNumberFormat="1" applyFont="1" applyFill="1" applyBorder="1" applyAlignment="1">
      <alignment horizontal="right" vertical="center"/>
    </xf>
    <xf numFmtId="1" fontId="23" fillId="2" borderId="8" xfId="0" applyNumberFormat="1" applyFont="1" applyFill="1" applyBorder="1" applyAlignment="1">
      <alignment horizontal="right" vertical="center"/>
    </xf>
    <xf numFmtId="4" fontId="23" fillId="2" borderId="8" xfId="0" applyNumberFormat="1" applyFont="1" applyFill="1" applyBorder="1" applyAlignment="1">
      <alignment horizontal="right" vertical="center"/>
    </xf>
    <xf numFmtId="169" fontId="20" fillId="0" borderId="0" xfId="1" applyNumberFormat="1" applyFont="1" applyFill="1" applyBorder="1" applyAlignment="1">
      <alignment vertical="center"/>
    </xf>
    <xf numFmtId="0" fontId="24" fillId="3" borderId="8" xfId="18" applyFont="1" applyFill="1" applyBorder="1" applyAlignment="1">
      <alignment horizontal="left" vertical="center"/>
    </xf>
    <xf numFmtId="0" fontId="22" fillId="3" borderId="5" xfId="0" applyFont="1" applyFill="1" applyBorder="1" applyAlignment="1">
      <alignment vertical="center" wrapText="1"/>
    </xf>
    <xf numFmtId="1" fontId="21" fillId="3" borderId="8" xfId="0" applyNumberFormat="1" applyFont="1" applyFill="1" applyBorder="1" applyAlignment="1">
      <alignment horizontal="right" vertical="center"/>
    </xf>
    <xf numFmtId="0" fontId="32" fillId="0" borderId="8" xfId="18" applyFont="1" applyBorder="1" applyAlignment="1">
      <alignment horizontal="left" vertical="center"/>
    </xf>
    <xf numFmtId="0" fontId="22" fillId="5" borderId="5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2" fontId="20" fillId="0" borderId="1" xfId="0" applyNumberFormat="1" applyFont="1" applyBorder="1" applyAlignment="1">
      <alignment horizontal="right" vertical="center"/>
    </xf>
    <xf numFmtId="2" fontId="31" fillId="0" borderId="3" xfId="0" applyNumberFormat="1" applyFont="1" applyBorder="1" applyAlignment="1">
      <alignment horizontal="right" vertical="center"/>
    </xf>
    <xf numFmtId="0" fontId="24" fillId="7" borderId="7" xfId="18" applyFont="1" applyFill="1" applyBorder="1" applyAlignment="1">
      <alignment horizontal="left" vertical="center"/>
    </xf>
    <xf numFmtId="0" fontId="22" fillId="7" borderId="5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9" fillId="0" borderId="7" xfId="18" applyFont="1" applyBorder="1" applyAlignment="1">
      <alignment horizontal="left" vertical="center"/>
    </xf>
    <xf numFmtId="0" fontId="20" fillId="0" borderId="15" xfId="0" applyFont="1" applyBorder="1" applyAlignment="1">
      <alignment vertical="center" wrapText="1"/>
    </xf>
    <xf numFmtId="0" fontId="31" fillId="0" borderId="12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5" fillId="11" borderId="15" xfId="0" applyFont="1" applyFill="1" applyBorder="1" applyAlignment="1">
      <alignment horizontal="left" vertical="center" wrapText="1"/>
    </xf>
    <xf numFmtId="0" fontId="22" fillId="11" borderId="5" xfId="0" applyFont="1" applyFill="1" applyBorder="1" applyAlignment="1">
      <alignment vertical="center" wrapText="1"/>
    </xf>
    <xf numFmtId="0" fontId="23" fillId="11" borderId="15" xfId="0" applyFont="1" applyFill="1" applyBorder="1" applyAlignment="1">
      <alignment vertical="center" wrapText="1"/>
    </xf>
    <xf numFmtId="0" fontId="23" fillId="11" borderId="15" xfId="0" applyFont="1" applyFill="1" applyBorder="1" applyAlignment="1">
      <alignment horizontal="center" vertical="center"/>
    </xf>
    <xf numFmtId="0" fontId="26" fillId="11" borderId="15" xfId="0" applyFont="1" applyFill="1" applyBorder="1" applyAlignment="1">
      <alignment horizontal="right" vertical="center" wrapText="1"/>
    </xf>
    <xf numFmtId="168" fontId="26" fillId="11" borderId="15" xfId="0" applyNumberFormat="1" applyFont="1" applyFill="1" applyBorder="1" applyAlignment="1">
      <alignment horizontal="right" vertical="center" wrapText="1"/>
    </xf>
    <xf numFmtId="1" fontId="26" fillId="11" borderId="15" xfId="0" applyNumberFormat="1" applyFont="1" applyFill="1" applyBorder="1" applyAlignment="1">
      <alignment horizontal="right" vertical="center" wrapText="1"/>
    </xf>
    <xf numFmtId="168" fontId="26" fillId="11" borderId="15" xfId="1" applyNumberFormat="1" applyFont="1" applyFill="1" applyBorder="1" applyAlignment="1" applyProtection="1">
      <alignment horizontal="right" vertical="center" wrapText="1"/>
    </xf>
    <xf numFmtId="0" fontId="18" fillId="11" borderId="15" xfId="0" applyFont="1" applyFill="1" applyBorder="1" applyAlignment="1">
      <alignment horizontal="right" vertical="center" wrapText="1"/>
    </xf>
    <xf numFmtId="168" fontId="18" fillId="11" borderId="15" xfId="0" applyNumberFormat="1" applyFont="1" applyFill="1" applyBorder="1" applyAlignment="1">
      <alignment horizontal="right" vertical="center" wrapText="1"/>
    </xf>
    <xf numFmtId="171" fontId="18" fillId="11" borderId="15" xfId="0" applyNumberFormat="1" applyFont="1" applyFill="1" applyBorder="1" applyAlignment="1">
      <alignment horizontal="right" vertical="center" wrapText="1"/>
    </xf>
    <xf numFmtId="3" fontId="18" fillId="11" borderId="15" xfId="0" applyNumberFormat="1" applyFont="1" applyFill="1" applyBorder="1" applyAlignment="1">
      <alignment horizontal="right" vertical="center" wrapText="1"/>
    </xf>
    <xf numFmtId="2" fontId="26" fillId="11" borderId="15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169" fontId="30" fillId="0" borderId="0" xfId="1" applyNumberFormat="1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  <xf numFmtId="172" fontId="21" fillId="3" borderId="8" xfId="1" applyNumberFormat="1" applyFont="1" applyFill="1" applyBorder="1" applyAlignment="1">
      <alignment horizontal="right" vertical="center"/>
    </xf>
    <xf numFmtId="3" fontId="21" fillId="3" borderId="1" xfId="0" applyNumberFormat="1" applyFont="1" applyFill="1" applyBorder="1" applyAlignment="1">
      <alignment horizontal="right" vertical="center"/>
    </xf>
    <xf numFmtId="177" fontId="21" fillId="3" borderId="1" xfId="1" applyNumberFormat="1" applyFont="1" applyFill="1" applyBorder="1" applyAlignment="1">
      <alignment horizontal="right" vertical="center"/>
    </xf>
    <xf numFmtId="4" fontId="21" fillId="3" borderId="8" xfId="0" applyNumberFormat="1" applyFont="1" applyFill="1" applyBorder="1" applyAlignment="1">
      <alignment horizontal="right" vertical="center"/>
    </xf>
    <xf numFmtId="1" fontId="20" fillId="3" borderId="1" xfId="0" applyNumberFormat="1" applyFont="1" applyFill="1" applyBorder="1" applyAlignment="1">
      <alignment horizontal="right" vertical="center"/>
    </xf>
    <xf numFmtId="168" fontId="20" fillId="3" borderId="1" xfId="0" applyNumberFormat="1" applyFont="1" applyFill="1" applyBorder="1" applyAlignment="1">
      <alignment horizontal="right" vertical="center"/>
    </xf>
    <xf numFmtId="0" fontId="21" fillId="3" borderId="3" xfId="0" applyFont="1" applyFill="1" applyBorder="1" applyAlignment="1">
      <alignment horizontal="right" vertical="center"/>
    </xf>
    <xf numFmtId="4" fontId="21" fillId="3" borderId="1" xfId="0" applyNumberFormat="1" applyFont="1" applyFill="1" applyBorder="1" applyAlignment="1">
      <alignment horizontal="right" vertical="center"/>
    </xf>
    <xf numFmtId="0" fontId="20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168" fontId="20" fillId="0" borderId="6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vertical="center"/>
    </xf>
    <xf numFmtId="168" fontId="32" fillId="0" borderId="8" xfId="0" applyNumberFormat="1" applyFont="1" applyBorder="1" applyAlignment="1">
      <alignment vertical="center"/>
    </xf>
    <xf numFmtId="3" fontId="20" fillId="0" borderId="8" xfId="0" applyNumberFormat="1" applyFont="1" applyBorder="1" applyAlignment="1">
      <alignment horizontal="right" vertical="center"/>
    </xf>
    <xf numFmtId="2" fontId="20" fillId="0" borderId="7" xfId="0" applyNumberFormat="1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right" vertical="center"/>
    </xf>
    <xf numFmtId="2" fontId="31" fillId="0" borderId="8" xfId="0" applyNumberFormat="1" applyFont="1" applyBorder="1" applyAlignment="1">
      <alignment horizontal="right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right" vertical="center"/>
    </xf>
    <xf numFmtId="0" fontId="20" fillId="0" borderId="15" xfId="0" applyFont="1" applyBorder="1" applyAlignment="1">
      <alignment vertical="center"/>
    </xf>
    <xf numFmtId="168" fontId="20" fillId="0" borderId="15" xfId="0" applyNumberFormat="1" applyFont="1" applyBorder="1" applyAlignment="1">
      <alignment vertical="center"/>
    </xf>
    <xf numFmtId="4" fontId="20" fillId="0" borderId="12" xfId="0" applyNumberFormat="1" applyFont="1" applyBorder="1" applyAlignment="1">
      <alignment horizontal="right" vertical="center"/>
    </xf>
    <xf numFmtId="0" fontId="24" fillId="3" borderId="7" xfId="18" applyFont="1" applyFill="1" applyBorder="1" applyAlignment="1">
      <alignment horizontal="left" vertical="center"/>
    </xf>
    <xf numFmtId="0" fontId="34" fillId="3" borderId="8" xfId="0" applyFont="1" applyFill="1" applyBorder="1" applyAlignment="1">
      <alignment horizontal="right" vertical="center"/>
    </xf>
    <xf numFmtId="168" fontId="34" fillId="3" borderId="8" xfId="0" applyNumberFormat="1" applyFont="1" applyFill="1" applyBorder="1" applyAlignment="1">
      <alignment horizontal="right" vertical="center"/>
    </xf>
    <xf numFmtId="3" fontId="21" fillId="3" borderId="8" xfId="0" applyNumberFormat="1" applyFont="1" applyFill="1" applyBorder="1" applyAlignment="1">
      <alignment horizontal="right" vertical="center"/>
    </xf>
    <xf numFmtId="1" fontId="20" fillId="3" borderId="8" xfId="0" applyNumberFormat="1" applyFont="1" applyFill="1" applyBorder="1" applyAlignment="1">
      <alignment horizontal="right" vertical="center"/>
    </xf>
    <xf numFmtId="2" fontId="21" fillId="3" borderId="7" xfId="0" applyNumberFormat="1" applyFont="1" applyFill="1" applyBorder="1" applyAlignment="1">
      <alignment horizontal="right" vertical="center"/>
    </xf>
    <xf numFmtId="0" fontId="22" fillId="5" borderId="5" xfId="0" applyFont="1" applyFill="1" applyBorder="1" applyAlignment="1">
      <alignment horizontal="left" vertical="center" wrapText="1"/>
    </xf>
    <xf numFmtId="21" fontId="24" fillId="11" borderId="8" xfId="18" applyNumberFormat="1" applyFont="1" applyFill="1" applyBorder="1" applyAlignment="1">
      <alignment horizontal="left" vertical="center"/>
    </xf>
    <xf numFmtId="1" fontId="26" fillId="11" borderId="8" xfId="0" applyNumberFormat="1" applyFont="1" applyFill="1" applyBorder="1" applyAlignment="1">
      <alignment horizontal="right" vertical="center" wrapText="1"/>
    </xf>
    <xf numFmtId="175" fontId="23" fillId="11" borderId="8" xfId="0" applyNumberFormat="1" applyFont="1" applyFill="1" applyBorder="1" applyAlignment="1">
      <alignment horizontal="right" vertical="center"/>
    </xf>
    <xf numFmtId="3" fontId="18" fillId="11" borderId="8" xfId="0" applyNumberFormat="1" applyFont="1" applyFill="1" applyBorder="1" applyAlignment="1">
      <alignment horizontal="right" vertical="center"/>
    </xf>
    <xf numFmtId="169" fontId="21" fillId="0" borderId="0" xfId="1" applyNumberFormat="1" applyFont="1" applyFill="1" applyBorder="1" applyAlignment="1">
      <alignment vertical="center"/>
    </xf>
    <xf numFmtId="0" fontId="27" fillId="3" borderId="8" xfId="0" applyFont="1" applyFill="1" applyBorder="1" applyAlignment="1">
      <alignment horizontal="right" vertical="center"/>
    </xf>
    <xf numFmtId="168" fontId="27" fillId="3" borderId="8" xfId="0" applyNumberFormat="1" applyFont="1" applyFill="1" applyBorder="1" applyAlignment="1">
      <alignment horizontal="right" vertical="center"/>
    </xf>
    <xf numFmtId="0" fontId="20" fillId="0" borderId="8" xfId="0" applyFont="1" applyBorder="1" applyAlignment="1">
      <alignment horizontal="center" vertical="center" wrapText="1"/>
    </xf>
    <xf numFmtId="177" fontId="35" fillId="3" borderId="8" xfId="1" applyNumberFormat="1" applyFont="1" applyFill="1" applyBorder="1" applyAlignment="1">
      <alignment horizontal="right" vertical="center"/>
    </xf>
    <xf numFmtId="168" fontId="31" fillId="3" borderId="8" xfId="0" applyNumberFormat="1" applyFont="1" applyFill="1" applyBorder="1" applyAlignment="1">
      <alignment horizontal="right" vertical="center"/>
    </xf>
    <xf numFmtId="2" fontId="34" fillId="3" borderId="7" xfId="0" applyNumberFormat="1" applyFont="1" applyFill="1" applyBorder="1" applyAlignment="1">
      <alignment horizontal="right" vertical="center"/>
    </xf>
    <xf numFmtId="4" fontId="34" fillId="3" borderId="8" xfId="0" applyNumberFormat="1" applyFont="1" applyFill="1" applyBorder="1" applyAlignment="1">
      <alignment horizontal="right" vertical="center"/>
    </xf>
    <xf numFmtId="1" fontId="18" fillId="11" borderId="8" xfId="0" applyNumberFormat="1" applyFont="1" applyFill="1" applyBorder="1" applyAlignment="1">
      <alignment horizontal="right" vertical="center"/>
    </xf>
    <xf numFmtId="4" fontId="18" fillId="11" borderId="8" xfId="0" applyNumberFormat="1" applyFont="1" applyFill="1" applyBorder="1" applyAlignment="1">
      <alignment horizontal="right" vertical="center"/>
    </xf>
    <xf numFmtId="2" fontId="18" fillId="11" borderId="8" xfId="0" applyNumberFormat="1" applyFont="1" applyFill="1" applyBorder="1" applyAlignment="1">
      <alignment horizontal="right" vertical="center"/>
    </xf>
    <xf numFmtId="0" fontId="24" fillId="11" borderId="8" xfId="18" applyFont="1" applyFill="1" applyBorder="1" applyAlignment="1">
      <alignment horizontal="left" vertical="center"/>
    </xf>
    <xf numFmtId="2" fontId="21" fillId="3" borderId="8" xfId="0" applyNumberFormat="1" applyFont="1" applyFill="1" applyBorder="1" applyAlignment="1">
      <alignment horizontal="right" vertical="center"/>
    </xf>
    <xf numFmtId="1" fontId="31" fillId="3" borderId="8" xfId="0" applyNumberFormat="1" applyFont="1" applyFill="1" applyBorder="1" applyAlignment="1">
      <alignment horizontal="right" vertical="center"/>
    </xf>
    <xf numFmtId="0" fontId="31" fillId="3" borderId="7" xfId="0" applyFont="1" applyFill="1" applyBorder="1" applyAlignment="1">
      <alignment horizontal="right" vertical="center"/>
    </xf>
    <xf numFmtId="1" fontId="20" fillId="0" borderId="8" xfId="0" quotePrefix="1" applyNumberFormat="1" applyFont="1" applyBorder="1" applyAlignment="1">
      <alignment horizontal="right" vertical="center"/>
    </xf>
    <xf numFmtId="0" fontId="24" fillId="7" borderId="3" xfId="18" applyFont="1" applyFill="1" applyBorder="1" applyAlignment="1">
      <alignment horizontal="left" vertical="center"/>
    </xf>
    <xf numFmtId="0" fontId="25" fillId="0" borderId="8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right" vertical="center"/>
    </xf>
    <xf numFmtId="168" fontId="34" fillId="0" borderId="1" xfId="0" applyNumberFormat="1" applyFont="1" applyBorder="1" applyAlignment="1">
      <alignment horizontal="right" vertical="center"/>
    </xf>
    <xf numFmtId="3" fontId="34" fillId="0" borderId="1" xfId="0" applyNumberFormat="1" applyFont="1" applyBorder="1" applyAlignment="1">
      <alignment horizontal="right" vertical="center"/>
    </xf>
    <xf numFmtId="0" fontId="34" fillId="0" borderId="8" xfId="0" applyFont="1" applyBorder="1" applyAlignment="1">
      <alignment horizontal="right" vertical="center"/>
    </xf>
    <xf numFmtId="168" fontId="36" fillId="0" borderId="8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168" fontId="22" fillId="0" borderId="1" xfId="0" applyNumberFormat="1" applyFont="1" applyBorder="1" applyAlignment="1">
      <alignment horizontal="right" vertical="center"/>
    </xf>
    <xf numFmtId="2" fontId="34" fillId="0" borderId="1" xfId="0" applyNumberFormat="1" applyFont="1" applyBorder="1" applyAlignment="1">
      <alignment horizontal="right" vertical="center"/>
    </xf>
    <xf numFmtId="1" fontId="34" fillId="0" borderId="1" xfId="0" applyNumberFormat="1" applyFont="1" applyBorder="1" applyAlignment="1">
      <alignment horizontal="right" vertical="center"/>
    </xf>
    <xf numFmtId="0" fontId="34" fillId="0" borderId="3" xfId="0" applyFont="1" applyBorder="1" applyAlignment="1">
      <alignment horizontal="right" vertical="center"/>
    </xf>
    <xf numFmtId="4" fontId="34" fillId="0" borderId="1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9" fillId="0" borderId="1" xfId="18" applyFont="1" applyBorder="1" applyAlignment="1">
      <alignment horizontal="left" vertical="center"/>
    </xf>
    <xf numFmtId="0" fontId="22" fillId="5" borderId="6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right" vertical="center"/>
    </xf>
    <xf numFmtId="168" fontId="20" fillId="0" borderId="5" xfId="0" applyNumberFormat="1" applyFont="1" applyBorder="1" applyAlignment="1">
      <alignment horizontal="right" vertical="center"/>
    </xf>
    <xf numFmtId="171" fontId="20" fillId="0" borderId="1" xfId="0" applyNumberFormat="1" applyFont="1" applyBorder="1" applyAlignment="1">
      <alignment horizontal="right" vertical="center"/>
    </xf>
    <xf numFmtId="168" fontId="31" fillId="0" borderId="2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center" vertical="center"/>
    </xf>
    <xf numFmtId="0" fontId="29" fillId="0" borderId="9" xfId="18" applyFont="1" applyBorder="1" applyAlignment="1">
      <alignment horizontal="left" vertical="center"/>
    </xf>
    <xf numFmtId="0" fontId="30" fillId="6" borderId="9" xfId="0" applyFont="1" applyFill="1" applyBorder="1" applyAlignment="1">
      <alignment horizontal="left" vertical="center" wrapText="1"/>
    </xf>
    <xf numFmtId="0" fontId="31" fillId="0" borderId="9" xfId="0" applyFont="1" applyBorder="1" applyAlignment="1">
      <alignment horizontal="right" vertical="center"/>
    </xf>
    <xf numFmtId="168" fontId="31" fillId="0" borderId="9" xfId="0" applyNumberFormat="1" applyFont="1" applyBorder="1" applyAlignment="1">
      <alignment horizontal="right" vertical="center"/>
    </xf>
    <xf numFmtId="168" fontId="20" fillId="0" borderId="9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32" fillId="0" borderId="9" xfId="0" applyFont="1" applyBorder="1" applyAlignment="1">
      <alignment horizontal="right" vertical="center"/>
    </xf>
    <xf numFmtId="168" fontId="32" fillId="0" borderId="9" xfId="0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2" fontId="31" fillId="0" borderId="10" xfId="0" applyNumberFormat="1" applyFont="1" applyBorder="1" applyAlignment="1">
      <alignment horizontal="right" vertical="center"/>
    </xf>
    <xf numFmtId="4" fontId="20" fillId="0" borderId="9" xfId="0" applyNumberFormat="1" applyFont="1" applyBorder="1" applyAlignment="1">
      <alignment horizontal="right" vertical="center"/>
    </xf>
    <xf numFmtId="1" fontId="31" fillId="0" borderId="11" xfId="0" applyNumberFormat="1" applyFont="1" applyBorder="1" applyAlignment="1">
      <alignment horizontal="right" vertical="center"/>
    </xf>
    <xf numFmtId="168" fontId="31" fillId="0" borderId="10" xfId="0" applyNumberFormat="1" applyFont="1" applyBorder="1" applyAlignment="1">
      <alignment horizontal="right" vertical="center"/>
    </xf>
    <xf numFmtId="4" fontId="31" fillId="0" borderId="9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2" fillId="5" borderId="4" xfId="0" applyFont="1" applyFill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right" vertical="center"/>
    </xf>
    <xf numFmtId="168" fontId="20" fillId="0" borderId="2" xfId="0" applyNumberFormat="1" applyFont="1" applyBorder="1" applyAlignment="1">
      <alignment horizontal="right" vertical="center"/>
    </xf>
    <xf numFmtId="0" fontId="24" fillId="7" borderId="0" xfId="18" applyFont="1" applyFill="1" applyAlignment="1">
      <alignment horizontal="left" vertical="center"/>
    </xf>
    <xf numFmtId="0" fontId="22" fillId="7" borderId="1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168" fontId="28" fillId="0" borderId="1" xfId="0" applyNumberFormat="1" applyFont="1" applyBorder="1" applyAlignment="1">
      <alignment horizontal="right" vertical="center"/>
    </xf>
    <xf numFmtId="2" fontId="20" fillId="0" borderId="3" xfId="0" applyNumberFormat="1" applyFont="1" applyBorder="1" applyAlignment="1">
      <alignment horizontal="right" vertical="center"/>
    </xf>
    <xf numFmtId="4" fontId="20" fillId="0" borderId="10" xfId="0" applyNumberFormat="1" applyFont="1" applyBorder="1" applyAlignment="1">
      <alignment horizontal="right" vertical="center"/>
    </xf>
    <xf numFmtId="1" fontId="31" fillId="0" borderId="1" xfId="0" applyNumberFormat="1" applyFont="1" applyBorder="1" applyAlignment="1">
      <alignment horizontal="right" vertical="center"/>
    </xf>
    <xf numFmtId="0" fontId="22" fillId="5" borderId="7" xfId="0" applyFont="1" applyFill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2" fontId="20" fillId="0" borderId="4" xfId="0" applyNumberFormat="1" applyFont="1" applyBorder="1" applyAlignment="1">
      <alignment horizontal="right" vertical="center"/>
    </xf>
    <xf numFmtId="0" fontId="24" fillId="7" borderId="9" xfId="18" applyFont="1" applyFill="1" applyBorder="1" applyAlignment="1">
      <alignment horizontal="left" vertical="center"/>
    </xf>
    <xf numFmtId="0" fontId="22" fillId="7" borderId="14" xfId="0" applyFont="1" applyFill="1" applyBorder="1" applyAlignment="1">
      <alignment vertical="center" wrapText="1"/>
    </xf>
    <xf numFmtId="0" fontId="25" fillId="0" borderId="9" xfId="0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20" fillId="0" borderId="0" xfId="0" applyFont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168" fontId="20" fillId="0" borderId="10" xfId="0" applyNumberFormat="1" applyFont="1" applyBorder="1" applyAlignment="1">
      <alignment horizontal="right" vertical="center"/>
    </xf>
    <xf numFmtId="2" fontId="20" fillId="0" borderId="0" xfId="0" applyNumberFormat="1" applyFont="1" applyAlignment="1">
      <alignment horizontal="right" vertical="center"/>
    </xf>
    <xf numFmtId="1" fontId="31" fillId="0" borderId="9" xfId="0" applyNumberFormat="1" applyFont="1" applyBorder="1" applyAlignment="1">
      <alignment horizontal="right" vertical="center"/>
    </xf>
    <xf numFmtId="3" fontId="31" fillId="0" borderId="9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right" vertical="center"/>
    </xf>
    <xf numFmtId="168" fontId="20" fillId="0" borderId="12" xfId="0" applyNumberFormat="1" applyFont="1" applyBorder="1" applyAlignment="1">
      <alignment horizontal="right" vertical="center"/>
    </xf>
    <xf numFmtId="2" fontId="31" fillId="0" borderId="0" xfId="0" applyNumberFormat="1" applyFont="1" applyAlignment="1">
      <alignment horizontal="right" vertical="center"/>
    </xf>
    <xf numFmtId="0" fontId="20" fillId="0" borderId="5" xfId="0" applyFont="1" applyBorder="1" applyAlignment="1">
      <alignment horizontal="center" vertical="center" wrapText="1"/>
    </xf>
    <xf numFmtId="0" fontId="32" fillId="5" borderId="0" xfId="0" applyFont="1" applyFill="1" applyAlignment="1">
      <alignment vertical="center" wrapText="1"/>
    </xf>
    <xf numFmtId="0" fontId="32" fillId="5" borderId="14" xfId="0" applyFont="1" applyFill="1" applyBorder="1" applyAlignment="1">
      <alignment vertical="center" wrapText="1"/>
    </xf>
    <xf numFmtId="2" fontId="31" fillId="0" borderId="14" xfId="0" applyNumberFormat="1" applyFont="1" applyBorder="1" applyAlignment="1">
      <alignment horizontal="right" vertical="center"/>
    </xf>
    <xf numFmtId="3" fontId="31" fillId="0" borderId="15" xfId="0" applyNumberFormat="1" applyFont="1" applyBorder="1" applyAlignment="1">
      <alignment horizontal="right" vertical="center"/>
    </xf>
    <xf numFmtId="168" fontId="23" fillId="11" borderId="1" xfId="0" applyNumberFormat="1" applyFont="1" applyFill="1" applyBorder="1" applyAlignment="1">
      <alignment horizontal="right" vertical="center"/>
    </xf>
    <xf numFmtId="171" fontId="23" fillId="11" borderId="1" xfId="0" applyNumberFormat="1" applyFont="1" applyFill="1" applyBorder="1" applyAlignment="1">
      <alignment horizontal="right" vertical="center"/>
    </xf>
    <xf numFmtId="4" fontId="23" fillId="11" borderId="1" xfId="0" applyNumberFormat="1" applyFont="1" applyFill="1" applyBorder="1" applyAlignment="1">
      <alignment horizontal="right" vertical="center"/>
    </xf>
    <xf numFmtId="0" fontId="21" fillId="11" borderId="1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left" vertical="center" wrapText="1"/>
    </xf>
    <xf numFmtId="0" fontId="18" fillId="11" borderId="1" xfId="0" applyFont="1" applyFill="1" applyBorder="1" applyAlignment="1">
      <alignment horizontal="right" vertical="center"/>
    </xf>
    <xf numFmtId="2" fontId="18" fillId="11" borderId="1" xfId="0" applyNumberFormat="1" applyFont="1" applyFill="1" applyBorder="1" applyAlignment="1">
      <alignment horizontal="right" vertical="center"/>
    </xf>
    <xf numFmtId="168" fontId="18" fillId="11" borderId="1" xfId="0" applyNumberFormat="1" applyFont="1" applyFill="1" applyBorder="1" applyAlignment="1">
      <alignment horizontal="right" vertical="center"/>
    </xf>
    <xf numFmtId="3" fontId="23" fillId="11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2" fontId="21" fillId="0" borderId="0" xfId="0" applyNumberFormat="1" applyFont="1" applyAlignment="1">
      <alignment vertical="center" wrapText="1"/>
    </xf>
    <xf numFmtId="179" fontId="21" fillId="0" borderId="0" xfId="0" applyNumberFormat="1" applyFont="1" applyAlignment="1">
      <alignment vertical="center" wrapText="1"/>
    </xf>
    <xf numFmtId="2" fontId="21" fillId="0" borderId="0" xfId="0" applyNumberFormat="1" applyFont="1" applyAlignment="1">
      <alignment vertical="center"/>
    </xf>
    <xf numFmtId="0" fontId="32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2" fillId="7" borderId="8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right" vertical="center"/>
    </xf>
    <xf numFmtId="0" fontId="22" fillId="5" borderId="0" xfId="0" applyFont="1" applyFill="1" applyAlignment="1">
      <alignment vertical="center" wrapText="1"/>
    </xf>
    <xf numFmtId="0" fontId="30" fillId="6" borderId="10" xfId="0" applyFont="1" applyFill="1" applyBorder="1" applyAlignment="1">
      <alignment horizontal="left" vertical="center" wrapText="1"/>
    </xf>
    <xf numFmtId="171" fontId="20" fillId="0" borderId="9" xfId="0" applyNumberFormat="1" applyFont="1" applyBorder="1" applyAlignment="1">
      <alignment horizontal="right" vertical="center"/>
    </xf>
    <xf numFmtId="2" fontId="31" fillId="0" borderId="9" xfId="0" applyNumberFormat="1" applyFont="1" applyBorder="1" applyAlignment="1">
      <alignment horizontal="right" vertical="center"/>
    </xf>
    <xf numFmtId="0" fontId="32" fillId="0" borderId="9" xfId="0" applyFont="1" applyBorder="1" applyAlignment="1">
      <alignment horizontal="center" vertical="center"/>
    </xf>
    <xf numFmtId="0" fontId="30" fillId="6" borderId="12" xfId="0" applyFont="1" applyFill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32" fillId="5" borderId="4" xfId="0" applyFont="1" applyFill="1" applyBorder="1" applyAlignment="1">
      <alignment vertical="center" wrapText="1"/>
    </xf>
    <xf numFmtId="0" fontId="20" fillId="0" borderId="13" xfId="0" applyFont="1" applyBorder="1" applyAlignment="1">
      <alignment vertical="center"/>
    </xf>
    <xf numFmtId="3" fontId="20" fillId="0" borderId="10" xfId="0" applyNumberFormat="1" applyFont="1" applyBorder="1" applyAlignment="1">
      <alignment horizontal="right" vertical="center"/>
    </xf>
    <xf numFmtId="0" fontId="21" fillId="3" borderId="13" xfId="0" applyFont="1" applyFill="1" applyBorder="1" applyAlignment="1">
      <alignment vertical="center"/>
    </xf>
    <xf numFmtId="0" fontId="22" fillId="3" borderId="12" xfId="0" applyFont="1" applyFill="1" applyBorder="1" applyAlignment="1">
      <alignment vertical="center" wrapText="1"/>
    </xf>
    <xf numFmtId="0" fontId="25" fillId="3" borderId="12" xfId="0" applyFont="1" applyFill="1" applyBorder="1" applyAlignment="1">
      <alignment horizontal="left" vertical="center" wrapText="1"/>
    </xf>
    <xf numFmtId="168" fontId="21" fillId="3" borderId="15" xfId="1" applyNumberFormat="1" applyFont="1" applyFill="1" applyBorder="1" applyAlignment="1">
      <alignment horizontal="right" vertical="center"/>
    </xf>
    <xf numFmtId="0" fontId="21" fillId="3" borderId="15" xfId="0" applyFont="1" applyFill="1" applyBorder="1" applyAlignment="1">
      <alignment horizontal="right" vertical="center"/>
    </xf>
    <xf numFmtId="4" fontId="23" fillId="3" borderId="15" xfId="0" applyNumberFormat="1" applyFont="1" applyFill="1" applyBorder="1" applyAlignment="1">
      <alignment horizontal="right" vertical="center"/>
    </xf>
    <xf numFmtId="0" fontId="20" fillId="0" borderId="3" xfId="0" applyFont="1" applyBorder="1" applyAlignment="1">
      <alignment vertical="center"/>
    </xf>
    <xf numFmtId="0" fontId="30" fillId="6" borderId="5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2" fontId="20" fillId="0" borderId="9" xfId="0" applyNumberFormat="1" applyFont="1" applyBorder="1" applyAlignment="1">
      <alignment horizontal="right" vertical="center"/>
    </xf>
    <xf numFmtId="2" fontId="31" fillId="0" borderId="11" xfId="0" applyNumberFormat="1" applyFont="1" applyBorder="1" applyAlignment="1">
      <alignment horizontal="right" vertical="center"/>
    </xf>
    <xf numFmtId="0" fontId="22" fillId="7" borderId="10" xfId="0" applyFont="1" applyFill="1" applyBorder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right" vertical="center"/>
    </xf>
    <xf numFmtId="168" fontId="28" fillId="0" borderId="2" xfId="0" applyNumberFormat="1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30" fillId="0" borderId="1" xfId="0" applyFont="1" applyBorder="1" applyAlignment="1">
      <alignment horizontal="left" vertical="center" wrapText="1"/>
    </xf>
    <xf numFmtId="0" fontId="32" fillId="5" borderId="13" xfId="0" applyFont="1" applyFill="1" applyBorder="1" applyAlignment="1">
      <alignment vertical="center" wrapText="1"/>
    </xf>
    <xf numFmtId="3" fontId="32" fillId="0" borderId="15" xfId="0" applyNumberFormat="1" applyFont="1" applyBorder="1" applyAlignment="1">
      <alignment horizontal="right" vertical="center"/>
    </xf>
    <xf numFmtId="0" fontId="32" fillId="0" borderId="12" xfId="0" applyFont="1" applyBorder="1" applyAlignment="1">
      <alignment horizontal="right" vertical="center"/>
    </xf>
    <xf numFmtId="0" fontId="32" fillId="0" borderId="13" xfId="0" applyFont="1" applyBorder="1" applyAlignment="1">
      <alignment horizontal="right" vertical="center"/>
    </xf>
    <xf numFmtId="2" fontId="31" fillId="0" borderId="12" xfId="0" applyNumberFormat="1" applyFont="1" applyBorder="1" applyAlignment="1">
      <alignment horizontal="right" vertical="center"/>
    </xf>
    <xf numFmtId="0" fontId="32" fillId="5" borderId="12" xfId="0" applyFont="1" applyFill="1" applyBorder="1" applyAlignment="1">
      <alignment vertical="center" wrapText="1"/>
    </xf>
    <xf numFmtId="21" fontId="21" fillId="11" borderId="8" xfId="0" applyNumberFormat="1" applyFont="1" applyFill="1" applyBorder="1" applyAlignment="1">
      <alignment horizontal="left" vertical="center"/>
    </xf>
    <xf numFmtId="0" fontId="23" fillId="11" borderId="7" xfId="0" applyFont="1" applyFill="1" applyBorder="1" applyAlignment="1">
      <alignment vertical="center" wrapText="1"/>
    </xf>
    <xf numFmtId="171" fontId="18" fillId="11" borderId="8" xfId="0" applyNumberFormat="1" applyFont="1" applyFill="1" applyBorder="1" applyAlignment="1">
      <alignment horizontal="right" vertical="center"/>
    </xf>
    <xf numFmtId="0" fontId="21" fillId="3" borderId="1" xfId="0" applyFont="1" applyFill="1" applyBorder="1" applyAlignment="1">
      <alignment vertical="center"/>
    </xf>
    <xf numFmtId="0" fontId="22" fillId="3" borderId="2" xfId="0" applyFont="1" applyFill="1" applyBorder="1" applyAlignment="1">
      <alignment vertical="center" wrapText="1"/>
    </xf>
    <xf numFmtId="0" fontId="25" fillId="3" borderId="15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right" vertical="center"/>
    </xf>
    <xf numFmtId="168" fontId="33" fillId="3" borderId="1" xfId="0" applyNumberFormat="1" applyFont="1" applyFill="1" applyBorder="1" applyAlignment="1">
      <alignment horizontal="right" vertical="center"/>
    </xf>
    <xf numFmtId="2" fontId="21" fillId="3" borderId="1" xfId="0" applyNumberFormat="1" applyFont="1" applyFill="1" applyBorder="1" applyAlignment="1">
      <alignment horizontal="right" vertical="center"/>
    </xf>
    <xf numFmtId="2" fontId="20" fillId="3" borderId="8" xfId="0" applyNumberFormat="1" applyFont="1" applyFill="1" applyBorder="1" applyAlignment="1">
      <alignment horizontal="right" vertical="center"/>
    </xf>
    <xf numFmtId="2" fontId="37" fillId="0" borderId="0" xfId="0" applyNumberFormat="1" applyFont="1" applyAlignment="1">
      <alignment vertical="center"/>
    </xf>
    <xf numFmtId="21" fontId="21" fillId="11" borderId="15" xfId="0" applyNumberFormat="1" applyFont="1" applyFill="1" applyBorder="1" applyAlignment="1">
      <alignment horizontal="left" vertical="center"/>
    </xf>
    <xf numFmtId="0" fontId="22" fillId="11" borderId="12" xfId="0" applyFont="1" applyFill="1" applyBorder="1" applyAlignment="1">
      <alignment vertical="center" wrapText="1"/>
    </xf>
    <xf numFmtId="0" fontId="23" fillId="11" borderId="15" xfId="0" applyFont="1" applyFill="1" applyBorder="1" applyAlignment="1">
      <alignment horizontal="right" vertical="center"/>
    </xf>
    <xf numFmtId="168" fontId="23" fillId="11" borderId="15" xfId="0" applyNumberFormat="1" applyFont="1" applyFill="1" applyBorder="1" applyAlignment="1">
      <alignment horizontal="right" vertical="center"/>
    </xf>
    <xf numFmtId="2" fontId="23" fillId="11" borderId="15" xfId="0" applyNumberFormat="1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left" vertical="center"/>
    </xf>
    <xf numFmtId="4" fontId="23" fillId="0" borderId="8" xfId="0" applyNumberFormat="1" applyFont="1" applyBorder="1" applyAlignment="1">
      <alignment horizontal="right" vertical="center"/>
    </xf>
    <xf numFmtId="1" fontId="23" fillId="11" borderId="8" xfId="2" applyNumberFormat="1" applyFont="1" applyFill="1" applyBorder="1" applyAlignment="1">
      <alignment horizontal="right" vertical="center"/>
    </xf>
    <xf numFmtId="173" fontId="23" fillId="11" borderId="8" xfId="0" applyNumberFormat="1" applyFont="1" applyFill="1" applyBorder="1" applyAlignment="1">
      <alignment horizontal="right" vertical="center"/>
    </xf>
    <xf numFmtId="0" fontId="21" fillId="3" borderId="8" xfId="0" applyFont="1" applyFill="1" applyBorder="1" applyAlignment="1">
      <alignment vertical="center"/>
    </xf>
    <xf numFmtId="168" fontId="34" fillId="0" borderId="8" xfId="0" applyNumberFormat="1" applyFont="1" applyBorder="1" applyAlignment="1">
      <alignment horizontal="right" vertical="center"/>
    </xf>
    <xf numFmtId="0" fontId="22" fillId="5" borderId="8" xfId="0" applyFont="1" applyFill="1" applyBorder="1" applyAlignment="1">
      <alignment vertical="center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vertical="center"/>
    </xf>
    <xf numFmtId="0" fontId="22" fillId="6" borderId="8" xfId="0" applyFont="1" applyFill="1" applyBorder="1" applyAlignment="1">
      <alignment horizontal="left" vertical="center" wrapText="1"/>
    </xf>
    <xf numFmtId="0" fontId="22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right" vertical="center"/>
    </xf>
    <xf numFmtId="168" fontId="22" fillId="0" borderId="8" xfId="0" applyNumberFormat="1" applyFont="1" applyBorder="1" applyAlignment="1">
      <alignment horizontal="right" vertical="center"/>
    </xf>
    <xf numFmtId="3" fontId="22" fillId="0" borderId="8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168" fontId="31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171" fontId="20" fillId="0" borderId="0" xfId="0" applyNumberFormat="1" applyFont="1" applyAlignment="1">
      <alignment horizontal="right" vertical="center"/>
    </xf>
    <xf numFmtId="171" fontId="3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10" fontId="10" fillId="10" borderId="0" xfId="2" applyNumberFormat="1" applyFont="1" applyFill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1" fontId="20" fillId="0" borderId="0" xfId="0" applyNumberFormat="1" applyFont="1" applyAlignment="1">
      <alignment horizontal="right" vertical="center"/>
    </xf>
    <xf numFmtId="168" fontId="21" fillId="0" borderId="0" xfId="0" applyNumberFormat="1" applyFont="1" applyAlignment="1">
      <alignment horizontal="right" vertical="center"/>
    </xf>
    <xf numFmtId="0" fontId="30" fillId="6" borderId="5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 wrapText="1"/>
    </xf>
    <xf numFmtId="0" fontId="30" fillId="6" borderId="7" xfId="0" applyFont="1" applyFill="1" applyBorder="1" applyAlignment="1">
      <alignment vertical="center" wrapText="1"/>
    </xf>
    <xf numFmtId="0" fontId="20" fillId="0" borderId="5" xfId="0" applyFont="1" applyBorder="1" applyAlignment="1">
      <alignment vertical="center"/>
    </xf>
    <xf numFmtId="0" fontId="20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0" fillId="6" borderId="0" xfId="0" applyFont="1" applyFill="1" applyAlignment="1">
      <alignment horizontal="left" vertical="center" wrapText="1"/>
    </xf>
    <xf numFmtId="0" fontId="38" fillId="6" borderId="0" xfId="0" applyFont="1" applyFill="1" applyAlignment="1">
      <alignment vertical="center" wrapText="1"/>
    </xf>
    <xf numFmtId="0" fontId="27" fillId="0" borderId="0" xfId="0" applyFont="1" applyAlignment="1">
      <alignment vertical="center" wrapText="1"/>
    </xf>
    <xf numFmtId="168" fontId="20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 wrapText="1"/>
    </xf>
    <xf numFmtId="168" fontId="22" fillId="0" borderId="0" xfId="0" applyNumberFormat="1" applyFont="1" applyAlignment="1">
      <alignment horizontal="right" vertical="center"/>
    </xf>
    <xf numFmtId="168" fontId="22" fillId="8" borderId="0" xfId="0" applyNumberFormat="1" applyFont="1" applyFill="1" applyAlignment="1">
      <alignment horizontal="right" vertical="center"/>
    </xf>
    <xf numFmtId="168" fontId="28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0" fontId="20" fillId="0" borderId="10" xfId="0" applyFont="1" applyBorder="1" applyAlignment="1">
      <alignment vertical="center"/>
    </xf>
    <xf numFmtId="0" fontId="15" fillId="0" borderId="0" xfId="12" applyFont="1" applyAlignment="1">
      <alignment horizontal="left" vertical="top" wrapText="1"/>
    </xf>
    <xf numFmtId="0" fontId="39" fillId="0" borderId="16" xfId="12" applyFont="1" applyBorder="1" applyAlignment="1">
      <alignment horizontal="left" vertical="top" wrapText="1"/>
    </xf>
    <xf numFmtId="0" fontId="39" fillId="0" borderId="19" xfId="12" applyFont="1" applyBorder="1" applyAlignment="1">
      <alignment horizontal="left" vertical="top" wrapText="1"/>
    </xf>
    <xf numFmtId="0" fontId="16" fillId="0" borderId="19" xfId="12" applyFont="1" applyBorder="1" applyAlignment="1">
      <alignment horizontal="left" vertical="top"/>
    </xf>
    <xf numFmtId="41" fontId="15" fillId="0" borderId="1" xfId="14" applyFont="1" applyBorder="1" applyAlignment="1">
      <alignment horizontal="left" vertical="top" wrapText="1"/>
    </xf>
    <xf numFmtId="0" fontId="41" fillId="6" borderId="8" xfId="0" applyFont="1" applyFill="1" applyBorder="1" applyAlignment="1">
      <alignment horizontal="left" vertical="top" wrapText="1"/>
    </xf>
    <xf numFmtId="175" fontId="12" fillId="0" borderId="0" xfId="12" applyNumberFormat="1" applyFont="1" applyAlignment="1">
      <alignment vertical="top" wrapText="1"/>
    </xf>
    <xf numFmtId="0" fontId="39" fillId="0" borderId="0" xfId="12" applyFont="1" applyAlignment="1">
      <alignment horizontal="center" vertical="top" wrapText="1"/>
    </xf>
    <xf numFmtId="0" fontId="40" fillId="0" borderId="18" xfId="12" applyFont="1" applyBorder="1" applyAlignment="1">
      <alignment horizontal="center" vertical="top" wrapText="1"/>
    </xf>
    <xf numFmtId="0" fontId="37" fillId="0" borderId="7" xfId="0" applyFont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7" fillId="0" borderId="8" xfId="0" applyFont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37" fillId="0" borderId="5" xfId="0" applyFont="1" applyBorder="1" applyAlignment="1">
      <alignment vertical="top" wrapText="1"/>
    </xf>
    <xf numFmtId="0" fontId="37" fillId="0" borderId="13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175" fontId="12" fillId="0" borderId="0" xfId="13" applyNumberFormat="1" applyFont="1" applyFill="1" applyAlignment="1">
      <alignment vertical="top" wrapText="1"/>
    </xf>
    <xf numFmtId="0" fontId="12" fillId="5" borderId="0" xfId="12" applyFont="1" applyFill="1" applyAlignment="1">
      <alignment vertical="top" wrapText="1"/>
    </xf>
    <xf numFmtId="9" fontId="15" fillId="0" borderId="16" xfId="12" applyNumberFormat="1" applyFont="1" applyBorder="1" applyAlignment="1">
      <alignment horizontal="center" vertical="top" wrapText="1"/>
    </xf>
    <xf numFmtId="0" fontId="12" fillId="0" borderId="19" xfId="12" applyFont="1" applyBorder="1" applyAlignment="1">
      <alignment horizontal="center" vertical="top" wrapText="1"/>
    </xf>
    <xf numFmtId="0" fontId="15" fillId="0" borderId="20" xfId="12" applyFont="1" applyBorder="1" applyAlignment="1">
      <alignment horizontal="center" vertical="top" wrapText="1"/>
    </xf>
    <xf numFmtId="0" fontId="17" fillId="0" borderId="8" xfId="12" applyFont="1" applyBorder="1" applyAlignment="1">
      <alignment horizontal="center" vertical="top" wrapText="1"/>
    </xf>
    <xf numFmtId="0" fontId="42" fillId="0" borderId="0" xfId="12" applyFont="1" applyAlignment="1">
      <alignment vertical="top" wrapText="1"/>
    </xf>
    <xf numFmtId="0" fontId="39" fillId="0" borderId="16" xfId="12" applyFont="1" applyBorder="1" applyAlignment="1">
      <alignment horizontal="center" vertical="top" wrapText="1"/>
    </xf>
    <xf numFmtId="0" fontId="42" fillId="0" borderId="16" xfId="12" applyFont="1" applyBorder="1" applyAlignment="1">
      <alignment horizontal="center" vertical="top" wrapText="1"/>
    </xf>
    <xf numFmtId="0" fontId="43" fillId="0" borderId="0" xfId="0" applyFont="1" applyAlignment="1">
      <alignment vertical="top" wrapText="1"/>
    </xf>
    <xf numFmtId="0" fontId="42" fillId="0" borderId="19" xfId="12" applyFont="1" applyBorder="1" applyAlignment="1">
      <alignment horizontal="center" vertical="top" wrapText="1"/>
    </xf>
    <xf numFmtId="0" fontId="42" fillId="0" borderId="8" xfId="12" applyFont="1" applyBorder="1" applyAlignment="1">
      <alignment horizontal="center" vertical="top" wrapText="1"/>
    </xf>
    <xf numFmtId="0" fontId="39" fillId="0" borderId="8" xfId="12" applyFont="1" applyBorder="1" applyAlignment="1">
      <alignment horizontal="center" vertical="top" wrapText="1"/>
    </xf>
    <xf numFmtId="41" fontId="39" fillId="0" borderId="8" xfId="14" applyFont="1" applyBorder="1" applyAlignment="1">
      <alignment horizontal="left" vertical="top" wrapText="1"/>
    </xf>
    <xf numFmtId="0" fontId="39" fillId="0" borderId="0" xfId="12" applyFont="1" applyAlignment="1">
      <alignment vertical="top" wrapText="1"/>
    </xf>
    <xf numFmtId="0" fontId="42" fillId="0" borderId="19" xfId="12" applyFont="1" applyBorder="1" applyAlignment="1">
      <alignment horizontal="left" vertical="top" wrapText="1"/>
    </xf>
    <xf numFmtId="0" fontId="39" fillId="0" borderId="19" xfId="12" applyFont="1" applyBorder="1" applyAlignment="1">
      <alignment horizontal="center" vertical="top" wrapText="1"/>
    </xf>
    <xf numFmtId="0" fontId="42" fillId="0" borderId="16" xfId="12" quotePrefix="1" applyFont="1" applyBorder="1" applyAlignment="1">
      <alignment horizontal="center" vertical="top" wrapText="1"/>
    </xf>
    <xf numFmtId="0" fontId="39" fillId="0" borderId="0" xfId="12" applyFont="1" applyAlignment="1">
      <alignment horizontal="left" vertical="top" wrapText="1"/>
    </xf>
    <xf numFmtId="0" fontId="39" fillId="0" borderId="8" xfId="12" applyFont="1" applyBorder="1" applyAlignment="1">
      <alignment horizontal="left" vertical="top" wrapText="1"/>
    </xf>
    <xf numFmtId="0" fontId="43" fillId="0" borderId="15" xfId="0" applyFont="1" applyBorder="1" applyAlignment="1">
      <alignment vertical="top" wrapText="1"/>
    </xf>
    <xf numFmtId="0" fontId="43" fillId="0" borderId="8" xfId="0" applyFont="1" applyBorder="1" applyAlignment="1">
      <alignment vertical="top" wrapText="1"/>
    </xf>
    <xf numFmtId="0" fontId="40" fillId="0" borderId="8" xfId="12" applyFont="1" applyBorder="1" applyAlignment="1">
      <alignment horizontal="center" vertical="top" wrapText="1"/>
    </xf>
    <xf numFmtId="0" fontId="39" fillId="0" borderId="21" xfId="12" applyFont="1" applyBorder="1" applyAlignment="1">
      <alignment horizontal="left" vertical="top" wrapText="1"/>
    </xf>
    <xf numFmtId="0" fontId="39" fillId="0" borderId="20" xfId="12" applyFont="1" applyBorder="1" applyAlignment="1">
      <alignment horizontal="left" vertical="top" wrapText="1"/>
    </xf>
    <xf numFmtId="0" fontId="39" fillId="0" borderId="1" xfId="12" applyFont="1" applyBorder="1" applyAlignment="1">
      <alignment horizontal="left" vertical="top" wrapText="1"/>
    </xf>
    <xf numFmtId="0" fontId="39" fillId="0" borderId="1" xfId="12" applyFont="1" applyBorder="1" applyAlignment="1">
      <alignment horizontal="center" vertical="top" wrapText="1"/>
    </xf>
    <xf numFmtId="0" fontId="43" fillId="0" borderId="3" xfId="0" applyFont="1" applyBorder="1" applyAlignment="1">
      <alignment vertical="top" wrapText="1"/>
    </xf>
    <xf numFmtId="0" fontId="39" fillId="0" borderId="8" xfId="12" applyFont="1" applyBorder="1" applyAlignment="1">
      <alignment vertical="top" wrapText="1"/>
    </xf>
    <xf numFmtId="0" fontId="39" fillId="0" borderId="16" xfId="12" quotePrefix="1" applyFont="1" applyBorder="1" applyAlignment="1">
      <alignment horizontal="center" vertical="top" wrapText="1"/>
    </xf>
    <xf numFmtId="0" fontId="43" fillId="0" borderId="13" xfId="0" applyFont="1" applyBorder="1" applyAlignment="1">
      <alignment vertical="top" wrapText="1"/>
    </xf>
    <xf numFmtId="0" fontId="12" fillId="0" borderId="20" xfId="12" applyFont="1" applyBorder="1" applyAlignment="1">
      <alignment horizontal="center" vertical="top" wrapText="1"/>
    </xf>
    <xf numFmtId="0" fontId="15" fillId="0" borderId="20" xfId="12" quotePrefix="1" applyFont="1" applyBorder="1" applyAlignment="1">
      <alignment horizontal="center" vertical="top" wrapText="1"/>
    </xf>
    <xf numFmtId="0" fontId="41" fillId="6" borderId="1" xfId="0" applyFont="1" applyFill="1" applyBorder="1" applyAlignment="1">
      <alignment horizontal="left" vertical="top" wrapText="1"/>
    </xf>
    <xf numFmtId="0" fontId="42" fillId="0" borderId="0" xfId="12" applyFont="1" applyAlignment="1">
      <alignment horizontal="right" vertical="top" wrapText="1"/>
    </xf>
    <xf numFmtId="0" fontId="42" fillId="0" borderId="8" xfId="12" applyFont="1" applyBorder="1" applyAlignment="1">
      <alignment horizontal="right" vertical="top" wrapText="1"/>
    </xf>
    <xf numFmtId="0" fontId="44" fillId="6" borderId="8" xfId="0" applyFont="1" applyFill="1" applyBorder="1" applyAlignment="1">
      <alignment horizontal="left" vertical="top" wrapText="1"/>
    </xf>
    <xf numFmtId="0" fontId="45" fillId="0" borderId="8" xfId="12" applyFont="1" applyBorder="1" applyAlignment="1">
      <alignment vertical="top" wrapText="1"/>
    </xf>
    <xf numFmtId="0" fontId="45" fillId="0" borderId="0" xfId="12" applyFont="1" applyAlignment="1">
      <alignment vertical="top" wrapText="1"/>
    </xf>
    <xf numFmtId="0" fontId="43" fillId="0" borderId="1" xfId="0" applyFont="1" applyBorder="1" applyAlignment="1">
      <alignment vertical="top" wrapText="1"/>
    </xf>
    <xf numFmtId="41" fontId="39" fillId="0" borderId="1" xfId="14" applyFont="1" applyBorder="1" applyAlignment="1">
      <alignment horizontal="left" vertical="top" wrapText="1"/>
    </xf>
    <xf numFmtId="0" fontId="43" fillId="0" borderId="7" xfId="0" applyFont="1" applyBorder="1" applyAlignment="1">
      <alignment vertical="top" wrapText="1"/>
    </xf>
    <xf numFmtId="0" fontId="46" fillId="0" borderId="8" xfId="12" applyFont="1" applyBorder="1" applyAlignment="1">
      <alignment horizontal="left" vertical="top" wrapText="1"/>
    </xf>
    <xf numFmtId="0" fontId="43" fillId="0" borderId="9" xfId="0" applyFont="1" applyBorder="1" applyAlignment="1">
      <alignment vertical="top" wrapText="1"/>
    </xf>
    <xf numFmtId="9" fontId="12" fillId="0" borderId="8" xfId="12" applyNumberFormat="1" applyFont="1" applyBorder="1" applyAlignment="1">
      <alignment horizontal="center" vertical="top" wrapText="1"/>
    </xf>
    <xf numFmtId="9" fontId="15" fillId="0" borderId="8" xfId="12" applyNumberFormat="1" applyFont="1" applyBorder="1" applyAlignment="1">
      <alignment horizontal="center" vertical="top" wrapText="1"/>
    </xf>
    <xf numFmtId="0" fontId="13" fillId="0" borderId="0" xfId="12" applyFont="1" applyAlignment="1">
      <alignment horizontal="left" vertical="top" wrapText="1"/>
    </xf>
    <xf numFmtId="0" fontId="42" fillId="0" borderId="8" xfId="12" applyFont="1" applyBorder="1" applyAlignment="1">
      <alignment horizontal="left" vertical="top" wrapText="1"/>
    </xf>
    <xf numFmtId="0" fontId="12" fillId="0" borderId="0" xfId="12" applyFont="1" applyAlignment="1">
      <alignment horizontal="left" vertical="top" wrapText="1"/>
    </xf>
    <xf numFmtId="41" fontId="12" fillId="0" borderId="0" xfId="12" applyNumberFormat="1" applyFont="1" applyAlignment="1">
      <alignment horizontal="left" vertical="top" wrapText="1"/>
    </xf>
    <xf numFmtId="0" fontId="12" fillId="0" borderId="0" xfId="12" applyFont="1" applyAlignment="1">
      <alignment vertical="center" wrapText="1"/>
    </xf>
    <xf numFmtId="175" fontId="13" fillId="0" borderId="0" xfId="12" applyNumberFormat="1" applyFont="1" applyAlignment="1">
      <alignment vertical="center" wrapText="1"/>
    </xf>
    <xf numFmtId="175" fontId="12" fillId="0" borderId="0" xfId="12" applyNumberFormat="1" applyFont="1" applyAlignment="1">
      <alignment vertical="center" wrapText="1"/>
    </xf>
    <xf numFmtId="0" fontId="13" fillId="0" borderId="16" xfId="12" applyFont="1" applyBorder="1" applyAlignment="1">
      <alignment horizontal="center" vertical="center" wrapText="1"/>
    </xf>
    <xf numFmtId="9" fontId="15" fillId="0" borderId="1" xfId="12" applyNumberFormat="1" applyFont="1" applyBorder="1" applyAlignment="1">
      <alignment horizontal="center" vertical="top" wrapText="1"/>
    </xf>
    <xf numFmtId="10" fontId="15" fillId="0" borderId="8" xfId="12" applyNumberFormat="1" applyFont="1" applyBorder="1" applyAlignment="1">
      <alignment horizontal="center" vertical="top" wrapText="1"/>
    </xf>
    <xf numFmtId="0" fontId="44" fillId="6" borderId="0" xfId="0" applyFont="1" applyFill="1" applyAlignment="1">
      <alignment horizontal="left" vertical="top" wrapText="1"/>
    </xf>
    <xf numFmtId="41" fontId="42" fillId="0" borderId="8" xfId="1" applyFont="1" applyFill="1" applyBorder="1" applyAlignment="1">
      <alignment horizontal="right" vertical="top" wrapText="1"/>
    </xf>
    <xf numFmtId="41" fontId="12" fillId="0" borderId="0" xfId="1" applyFont="1" applyFill="1" applyBorder="1" applyAlignment="1">
      <alignment horizontal="right" vertical="top" wrapText="1"/>
    </xf>
    <xf numFmtId="0" fontId="43" fillId="0" borderId="4" xfId="0" applyFont="1" applyBorder="1" applyAlignment="1">
      <alignment vertical="top" wrapText="1"/>
    </xf>
    <xf numFmtId="41" fontId="14" fillId="5" borderId="0" xfId="1" applyFont="1" applyFill="1" applyBorder="1" applyAlignment="1">
      <alignment horizontal="right" vertical="top" wrapText="1"/>
    </xf>
    <xf numFmtId="41" fontId="13" fillId="5" borderId="0" xfId="1" applyFont="1" applyFill="1" applyBorder="1" applyAlignment="1">
      <alignment horizontal="right" vertical="top" wrapText="1"/>
    </xf>
    <xf numFmtId="41" fontId="16" fillId="0" borderId="8" xfId="1" applyFont="1" applyFill="1" applyBorder="1" applyAlignment="1">
      <alignment horizontal="right" vertical="top" wrapText="1"/>
    </xf>
    <xf numFmtId="41" fontId="15" fillId="0" borderId="8" xfId="1" applyFont="1" applyBorder="1" applyAlignment="1">
      <alignment horizontal="right" vertical="top" wrapText="1"/>
    </xf>
    <xf numFmtId="41" fontId="39" fillId="0" borderId="8" xfId="1" applyFont="1" applyBorder="1" applyAlignment="1">
      <alignment horizontal="right" vertical="top" wrapText="1"/>
    </xf>
    <xf numFmtId="41" fontId="12" fillId="0" borderId="0" xfId="1" applyFont="1" applyFill="1" applyAlignment="1">
      <alignment horizontal="right" vertical="top" wrapText="1"/>
    </xf>
    <xf numFmtId="41" fontId="12" fillId="5" borderId="0" xfId="1" applyFont="1" applyFill="1" applyAlignment="1">
      <alignment horizontal="right" vertical="top" wrapText="1"/>
    </xf>
    <xf numFmtId="0" fontId="16" fillId="7" borderId="16" xfId="12" applyFont="1" applyFill="1" applyBorder="1" applyAlignment="1">
      <alignment horizontal="center" vertical="top" wrapText="1"/>
    </xf>
    <xf numFmtId="0" fontId="16" fillId="7" borderId="16" xfId="12" applyFont="1" applyFill="1" applyBorder="1" applyAlignment="1">
      <alignment horizontal="left" vertical="top"/>
    </xf>
    <xf numFmtId="0" fontId="16" fillId="7" borderId="19" xfId="12" applyFont="1" applyFill="1" applyBorder="1" applyAlignment="1">
      <alignment horizontal="left" vertical="top" wrapText="1"/>
    </xf>
    <xf numFmtId="0" fontId="16" fillId="7" borderId="16" xfId="12" applyFont="1" applyFill="1" applyBorder="1" applyAlignment="1">
      <alignment horizontal="left" vertical="top" wrapText="1"/>
    </xf>
    <xf numFmtId="0" fontId="16" fillId="7" borderId="19" xfId="12" applyFont="1" applyFill="1" applyBorder="1" applyAlignment="1">
      <alignment horizontal="center" vertical="top" wrapText="1"/>
    </xf>
    <xf numFmtId="9" fontId="16" fillId="7" borderId="8" xfId="12" applyNumberFormat="1" applyFont="1" applyFill="1" applyBorder="1" applyAlignment="1">
      <alignment horizontal="center" vertical="top" wrapText="1"/>
    </xf>
    <xf numFmtId="0" fontId="16" fillId="7" borderId="8" xfId="12" applyFont="1" applyFill="1" applyBorder="1" applyAlignment="1">
      <alignment horizontal="center" vertical="top" wrapText="1"/>
    </xf>
    <xf numFmtId="0" fontId="16" fillId="7" borderId="8" xfId="12" applyFont="1" applyFill="1" applyBorder="1" applyAlignment="1">
      <alignment horizontal="left" vertical="top" wrapText="1"/>
    </xf>
    <xf numFmtId="41" fontId="16" fillId="7" borderId="8" xfId="1" applyFont="1" applyFill="1" applyBorder="1" applyAlignment="1">
      <alignment horizontal="right" vertical="top" wrapText="1"/>
    </xf>
    <xf numFmtId="41" fontId="16" fillId="7" borderId="8" xfId="14" applyFont="1" applyFill="1" applyBorder="1" applyAlignment="1">
      <alignment horizontal="left" vertical="top" wrapText="1"/>
    </xf>
    <xf numFmtId="0" fontId="16" fillId="7" borderId="21" xfId="12" applyFont="1" applyFill="1" applyBorder="1" applyAlignment="1">
      <alignment horizontal="left" vertical="top" wrapText="1"/>
    </xf>
    <xf numFmtId="0" fontId="16" fillId="7" borderId="20" xfId="12" applyFont="1" applyFill="1" applyBorder="1" applyAlignment="1">
      <alignment horizontal="left" vertical="top" wrapText="1"/>
    </xf>
    <xf numFmtId="9" fontId="13" fillId="7" borderId="8" xfId="12" applyNumberFormat="1" applyFont="1" applyFill="1" applyBorder="1" applyAlignment="1">
      <alignment horizontal="center" vertical="top" wrapText="1"/>
    </xf>
    <xf numFmtId="41" fontId="16" fillId="7" borderId="8" xfId="14" applyFont="1" applyFill="1" applyBorder="1" applyAlignment="1">
      <alignment vertical="top" wrapText="1"/>
    </xf>
    <xf numFmtId="0" fontId="16" fillId="7" borderId="19" xfId="12" applyFont="1" applyFill="1" applyBorder="1" applyAlignment="1">
      <alignment horizontal="left" vertical="top"/>
    </xf>
    <xf numFmtId="10" fontId="16" fillId="7" borderId="8" xfId="12" applyNumberFormat="1" applyFont="1" applyFill="1" applyBorder="1" applyAlignment="1">
      <alignment horizontal="center" vertical="top" wrapText="1"/>
    </xf>
    <xf numFmtId="0" fontId="16" fillId="7" borderId="8" xfId="12" applyFont="1" applyFill="1" applyBorder="1" applyAlignment="1">
      <alignment vertical="top" wrapText="1"/>
    </xf>
    <xf numFmtId="0" fontId="37" fillId="7" borderId="8" xfId="0" applyFont="1" applyFill="1" applyBorder="1" applyAlignment="1">
      <alignment vertical="top" wrapText="1"/>
    </xf>
    <xf numFmtId="0" fontId="16" fillId="9" borderId="16" xfId="12" applyFont="1" applyFill="1" applyBorder="1" applyAlignment="1">
      <alignment horizontal="center" vertical="top" wrapText="1"/>
    </xf>
    <xf numFmtId="0" fontId="13" fillId="9" borderId="16" xfId="12" applyFont="1" applyFill="1" applyBorder="1" applyAlignment="1">
      <alignment horizontal="center" vertical="top" wrapText="1"/>
    </xf>
    <xf numFmtId="0" fontId="16" fillId="9" borderId="19" xfId="12" applyFont="1" applyFill="1" applyBorder="1" applyAlignment="1">
      <alignment horizontal="left" vertical="top"/>
    </xf>
    <xf numFmtId="0" fontId="16" fillId="9" borderId="8" xfId="12" applyFont="1" applyFill="1" applyBorder="1" applyAlignment="1">
      <alignment horizontal="left" vertical="top" wrapText="1"/>
    </xf>
    <xf numFmtId="0" fontId="17" fillId="9" borderId="8" xfId="12" applyFont="1" applyFill="1" applyBorder="1" applyAlignment="1">
      <alignment horizontal="left" vertical="top" wrapText="1"/>
    </xf>
    <xf numFmtId="0" fontId="17" fillId="9" borderId="8" xfId="12" applyFont="1" applyFill="1" applyBorder="1" applyAlignment="1">
      <alignment horizontal="center" vertical="top" wrapText="1"/>
    </xf>
    <xf numFmtId="176" fontId="17" fillId="9" borderId="8" xfId="13" applyNumberFormat="1" applyFont="1" applyFill="1" applyBorder="1" applyAlignment="1">
      <alignment horizontal="center" vertical="top" wrapText="1"/>
    </xf>
    <xf numFmtId="41" fontId="16" fillId="9" borderId="8" xfId="1" applyFont="1" applyFill="1" applyBorder="1" applyAlignment="1">
      <alignment horizontal="right" vertical="top" wrapText="1"/>
    </xf>
    <xf numFmtId="41" fontId="16" fillId="9" borderId="8" xfId="14" applyFont="1" applyFill="1" applyBorder="1" applyAlignment="1">
      <alignment vertical="top" wrapText="1"/>
    </xf>
    <xf numFmtId="0" fontId="16" fillId="3" borderId="16" xfId="12" applyFont="1" applyFill="1" applyBorder="1" applyAlignment="1">
      <alignment horizontal="center" vertical="top" wrapText="1"/>
    </xf>
    <xf numFmtId="0" fontId="16" fillId="3" borderId="8" xfId="12" applyFont="1" applyFill="1" applyBorder="1" applyAlignment="1">
      <alignment horizontal="left" vertical="top" wrapText="1"/>
    </xf>
    <xf numFmtId="41" fontId="16" fillId="3" borderId="8" xfId="1" applyFont="1" applyFill="1" applyBorder="1" applyAlignment="1">
      <alignment horizontal="right" vertical="top" wrapText="1"/>
    </xf>
    <xf numFmtId="41" fontId="15" fillId="3" borderId="15" xfId="1" applyFont="1" applyFill="1" applyBorder="1" applyAlignment="1">
      <alignment horizontal="right" vertical="top" wrapText="1"/>
    </xf>
    <xf numFmtId="41" fontId="16" fillId="3" borderId="8" xfId="14" applyFont="1" applyFill="1" applyBorder="1" applyAlignment="1">
      <alignment vertical="top" wrapText="1"/>
    </xf>
    <xf numFmtId="41" fontId="17" fillId="9" borderId="8" xfId="1" applyFont="1" applyFill="1" applyBorder="1" applyAlignment="1">
      <alignment horizontal="right" vertical="top" wrapText="1"/>
    </xf>
    <xf numFmtId="41" fontId="16" fillId="9" borderId="8" xfId="14" applyFont="1" applyFill="1" applyBorder="1" applyAlignment="1">
      <alignment horizontal="left" vertical="top" wrapText="1"/>
    </xf>
    <xf numFmtId="0" fontId="16" fillId="9" borderId="6" xfId="12" applyFont="1" applyFill="1" applyBorder="1" applyAlignment="1">
      <alignment horizontal="left" vertical="top" wrapText="1"/>
    </xf>
    <xf numFmtId="176" fontId="16" fillId="9" borderId="8" xfId="13" applyNumberFormat="1" applyFont="1" applyFill="1" applyBorder="1" applyAlignment="1">
      <alignment horizontal="center" vertical="top" wrapText="1"/>
    </xf>
    <xf numFmtId="0" fontId="16" fillId="9" borderId="16" xfId="12" applyFont="1" applyFill="1" applyBorder="1" applyAlignment="1">
      <alignment horizontal="left" vertical="top"/>
    </xf>
    <xf numFmtId="0" fontId="16" fillId="9" borderId="16" xfId="12" applyFont="1" applyFill="1" applyBorder="1" applyAlignment="1">
      <alignment horizontal="left" vertical="top" wrapText="1"/>
    </xf>
    <xf numFmtId="0" fontId="16" fillId="9" borderId="19" xfId="12" applyFont="1" applyFill="1" applyBorder="1" applyAlignment="1">
      <alignment horizontal="left" vertical="top" wrapText="1"/>
    </xf>
    <xf numFmtId="0" fontId="16" fillId="9" borderId="8" xfId="12" applyFont="1" applyFill="1" applyBorder="1" applyAlignment="1">
      <alignment horizontal="center" vertical="top" wrapText="1"/>
    </xf>
    <xf numFmtId="0" fontId="16" fillId="9" borderId="21" xfId="12" applyFont="1" applyFill="1" applyBorder="1" applyAlignment="1">
      <alignment horizontal="left" vertical="top" wrapText="1"/>
    </xf>
    <xf numFmtId="0" fontId="13" fillId="9" borderId="19" xfId="12" applyFont="1" applyFill="1" applyBorder="1" applyAlignment="1">
      <alignment horizontal="left" vertical="top" wrapText="1"/>
    </xf>
    <xf numFmtId="0" fontId="13" fillId="9" borderId="8" xfId="12" applyFont="1" applyFill="1" applyBorder="1" applyAlignment="1">
      <alignment horizontal="center" vertical="top" wrapText="1"/>
    </xf>
    <xf numFmtId="0" fontId="13" fillId="9" borderId="19" xfId="12" applyFont="1" applyFill="1" applyBorder="1" applyAlignment="1">
      <alignment horizontal="center" vertical="top" wrapText="1"/>
    </xf>
    <xf numFmtId="0" fontId="40" fillId="12" borderId="8" xfId="12" applyFont="1" applyFill="1" applyBorder="1" applyAlignment="1">
      <alignment horizontal="center" vertical="top" wrapText="1"/>
    </xf>
    <xf numFmtId="0" fontId="40" fillId="12" borderId="5" xfId="12" applyFont="1" applyFill="1" applyBorder="1" applyAlignment="1">
      <alignment horizontal="center" vertical="top" wrapText="1"/>
    </xf>
    <xf numFmtId="1" fontId="40" fillId="12" borderId="8" xfId="1" applyNumberFormat="1" applyFont="1" applyFill="1" applyBorder="1" applyAlignment="1">
      <alignment horizontal="center" vertical="top"/>
    </xf>
    <xf numFmtId="1" fontId="40" fillId="12" borderId="8" xfId="1" applyNumberFormat="1" applyFont="1" applyFill="1" applyBorder="1" applyAlignment="1">
      <alignment horizontal="center" vertical="top" wrapText="1"/>
    </xf>
    <xf numFmtId="1" fontId="40" fillId="12" borderId="8" xfId="12" applyNumberFormat="1" applyFont="1" applyFill="1" applyBorder="1" applyAlignment="1">
      <alignment horizontal="center" vertical="top" wrapText="1"/>
    </xf>
    <xf numFmtId="0" fontId="16" fillId="3" borderId="17" xfId="12" applyFont="1" applyFill="1" applyBorder="1" applyAlignment="1">
      <alignment horizontal="left" vertical="top"/>
    </xf>
    <xf numFmtId="0" fontId="16" fillId="3" borderId="17" xfId="12" applyFont="1" applyFill="1" applyBorder="1" applyAlignment="1">
      <alignment horizontal="left" vertical="top" wrapText="1"/>
    </xf>
    <xf numFmtId="0" fontId="16" fillId="3" borderId="17" xfId="12" applyFont="1" applyFill="1" applyBorder="1" applyAlignment="1">
      <alignment horizontal="center" vertical="top" wrapText="1"/>
    </xf>
    <xf numFmtId="0" fontId="16" fillId="3" borderId="18" xfId="12" applyFont="1" applyFill="1" applyBorder="1" applyAlignment="1">
      <alignment horizontal="left" vertical="top" wrapText="1"/>
    </xf>
    <xf numFmtId="0" fontId="16" fillId="3" borderId="8" xfId="12" applyFont="1" applyFill="1" applyBorder="1" applyAlignment="1">
      <alignment horizontal="center" vertical="top" wrapText="1"/>
    </xf>
    <xf numFmtId="41" fontId="16" fillId="3" borderId="15" xfId="14" applyFont="1" applyFill="1" applyBorder="1" applyAlignment="1">
      <alignment vertical="top" wrapText="1"/>
    </xf>
    <xf numFmtId="0" fontId="16" fillId="3" borderId="16" xfId="12" applyFont="1" applyFill="1" applyBorder="1" applyAlignment="1">
      <alignment horizontal="left" vertical="top"/>
    </xf>
    <xf numFmtId="0" fontId="16" fillId="3" borderId="16" xfId="12" applyFont="1" applyFill="1" applyBorder="1" applyAlignment="1">
      <alignment horizontal="left" vertical="top" wrapText="1"/>
    </xf>
    <xf numFmtId="0" fontId="16" fillId="3" borderId="19" xfId="12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right" vertical="center"/>
    </xf>
    <xf numFmtId="4" fontId="20" fillId="0" borderId="3" xfId="0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9" fillId="0" borderId="0" xfId="0" applyFont="1" applyAlignment="1">
      <alignment vertical="center"/>
    </xf>
    <xf numFmtId="2" fontId="21" fillId="11" borderId="7" xfId="0" applyNumberFormat="1" applyFont="1" applyFill="1" applyBorder="1" applyAlignment="1">
      <alignment horizontal="right" vertical="center"/>
    </xf>
    <xf numFmtId="2" fontId="26" fillId="11" borderId="8" xfId="0" applyNumberFormat="1" applyFont="1" applyFill="1" applyBorder="1" applyAlignment="1">
      <alignment horizontal="right" vertical="center" wrapText="1"/>
    </xf>
    <xf numFmtId="2" fontId="23" fillId="11" borderId="13" xfId="0" applyNumberFormat="1" applyFont="1" applyFill="1" applyBorder="1" applyAlignment="1">
      <alignment horizontal="right" vertical="center"/>
    </xf>
    <xf numFmtId="2" fontId="23" fillId="11" borderId="7" xfId="0" applyNumberFormat="1" applyFont="1" applyFill="1" applyBorder="1" applyAlignment="1">
      <alignment horizontal="right" vertical="center"/>
    </xf>
    <xf numFmtId="2" fontId="18" fillId="11" borderId="7" xfId="0" applyNumberFormat="1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center" vertical="center"/>
    </xf>
    <xf numFmtId="2" fontId="21" fillId="11" borderId="8" xfId="0" applyNumberFormat="1" applyFont="1" applyFill="1" applyBorder="1" applyAlignment="1">
      <alignment horizontal="right" vertical="center"/>
    </xf>
    <xf numFmtId="169" fontId="32" fillId="0" borderId="6" xfId="0" applyNumberFormat="1" applyFont="1" applyBorder="1" applyAlignment="1">
      <alignment vertical="center"/>
    </xf>
    <xf numFmtId="169" fontId="20" fillId="0" borderId="14" xfId="0" applyNumberFormat="1" applyFont="1" applyBorder="1" applyAlignment="1">
      <alignment vertical="center"/>
    </xf>
    <xf numFmtId="169" fontId="20" fillId="0" borderId="15" xfId="0" applyNumberFormat="1" applyFont="1" applyBorder="1" applyAlignment="1">
      <alignment horizontal="right" vertical="center"/>
    </xf>
    <xf numFmtId="169" fontId="20" fillId="0" borderId="8" xfId="0" applyNumberFormat="1" applyFont="1" applyBorder="1" applyAlignment="1">
      <alignment horizontal="right" vertical="center"/>
    </xf>
    <xf numFmtId="169" fontId="26" fillId="11" borderId="15" xfId="1" applyNumberFormat="1" applyFont="1" applyFill="1" applyBorder="1" applyAlignment="1" applyProtection="1">
      <alignment horizontal="right" vertical="center" wrapText="1"/>
    </xf>
    <xf numFmtId="169" fontId="20" fillId="0" borderId="5" xfId="0" applyNumberFormat="1" applyFont="1" applyBorder="1" applyAlignment="1">
      <alignment horizontal="right" vertical="center"/>
    </xf>
    <xf numFmtId="169" fontId="20" fillId="0" borderId="6" xfId="0" applyNumberFormat="1" applyFont="1" applyBorder="1" applyAlignment="1">
      <alignment horizontal="right" vertical="center"/>
    </xf>
    <xf numFmtId="169" fontId="20" fillId="0" borderId="10" xfId="0" applyNumberFormat="1" applyFont="1" applyBorder="1" applyAlignment="1">
      <alignment horizontal="right" vertical="center"/>
    </xf>
    <xf numFmtId="169" fontId="20" fillId="0" borderId="12" xfId="0" applyNumberFormat="1" applyFont="1" applyBorder="1" applyAlignment="1">
      <alignment horizontal="right" vertical="center"/>
    </xf>
    <xf numFmtId="180" fontId="28" fillId="0" borderId="4" xfId="0" applyNumberFormat="1" applyFont="1" applyBorder="1" applyAlignment="1">
      <alignment horizontal="right" vertical="center"/>
    </xf>
    <xf numFmtId="180" fontId="36" fillId="0" borderId="1" xfId="0" applyNumberFormat="1" applyFont="1" applyBorder="1" applyAlignment="1">
      <alignment horizontal="right" vertical="center"/>
    </xf>
    <xf numFmtId="180" fontId="20" fillId="0" borderId="10" xfId="0" applyNumberFormat="1" applyFont="1" applyBorder="1" applyAlignment="1">
      <alignment horizontal="right" vertical="center"/>
    </xf>
    <xf numFmtId="168" fontId="20" fillId="0" borderId="3" xfId="0" applyNumberFormat="1" applyFont="1" applyBorder="1" applyAlignment="1">
      <alignment horizontal="right" vertical="center"/>
    </xf>
    <xf numFmtId="168" fontId="20" fillId="0" borderId="11" xfId="0" applyNumberFormat="1" applyFont="1" applyBorder="1" applyAlignment="1">
      <alignment horizontal="right" vertical="center"/>
    </xf>
    <xf numFmtId="168" fontId="32" fillId="0" borderId="12" xfId="0" applyNumberFormat="1" applyFont="1" applyBorder="1" applyAlignment="1">
      <alignment horizontal="right" vertical="center"/>
    </xf>
    <xf numFmtId="169" fontId="21" fillId="3" borderId="1" xfId="1" applyNumberFormat="1" applyFont="1" applyFill="1" applyBorder="1" applyAlignment="1">
      <alignment horizontal="right" vertical="center"/>
    </xf>
    <xf numFmtId="0" fontId="32" fillId="0" borderId="10" xfId="0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1" fillId="11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37" fontId="16" fillId="3" borderId="8" xfId="1" applyNumberFormat="1" applyFont="1" applyFill="1" applyBorder="1" applyAlignment="1">
      <alignment horizontal="right" vertical="top" wrapText="1"/>
    </xf>
    <xf numFmtId="37" fontId="16" fillId="7" borderId="15" xfId="1" applyNumberFormat="1" applyFont="1" applyFill="1" applyBorder="1" applyAlignment="1">
      <alignment horizontal="right" vertical="top" wrapText="1"/>
    </xf>
    <xf numFmtId="37" fontId="16" fillId="9" borderId="15" xfId="1" applyNumberFormat="1" applyFont="1" applyFill="1" applyBorder="1" applyAlignment="1">
      <alignment horizontal="right" vertical="top" wrapText="1"/>
    </xf>
    <xf numFmtId="37" fontId="15" fillId="5" borderId="15" xfId="1" applyNumberFormat="1" applyFont="1" applyFill="1" applyBorder="1" applyAlignment="1">
      <alignment horizontal="right" vertical="top" wrapText="1"/>
    </xf>
    <xf numFmtId="37" fontId="39" fillId="5" borderId="15" xfId="1" applyNumberFormat="1" applyFont="1" applyFill="1" applyBorder="1" applyAlignment="1">
      <alignment horizontal="right" vertical="top" wrapText="1"/>
    </xf>
    <xf numFmtId="37" fontId="16" fillId="5" borderId="15" xfId="1" applyNumberFormat="1" applyFont="1" applyFill="1" applyBorder="1" applyAlignment="1">
      <alignment horizontal="right" vertical="top" wrapText="1"/>
    </xf>
    <xf numFmtId="0" fontId="39" fillId="0" borderId="0" xfId="12" applyFont="1" applyAlignment="1">
      <alignment horizontal="left" vertical="center" wrapText="1"/>
    </xf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2" fillId="0" borderId="8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3" fontId="52" fillId="0" borderId="8" xfId="0" applyNumberFormat="1" applyFont="1" applyBorder="1" applyAlignment="1">
      <alignment horizontal="center" vertical="center" wrapText="1"/>
    </xf>
    <xf numFmtId="4" fontId="52" fillId="0" borderId="8" xfId="0" applyNumberFormat="1" applyFont="1" applyBorder="1" applyAlignment="1">
      <alignment horizontal="center" vertical="center" wrapText="1"/>
    </xf>
    <xf numFmtId="3" fontId="53" fillId="0" borderId="8" xfId="0" applyNumberFormat="1" applyFont="1" applyBorder="1" applyAlignment="1">
      <alignment horizontal="center" vertical="center" wrapText="1"/>
    </xf>
    <xf numFmtId="167" fontId="52" fillId="0" borderId="8" xfId="0" applyNumberFormat="1" applyFont="1" applyBorder="1" applyAlignment="1">
      <alignment horizontal="center" vertical="center" wrapText="1"/>
    </xf>
    <xf numFmtId="168" fontId="52" fillId="0" borderId="0" xfId="0" applyNumberFormat="1" applyFont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49" fontId="56" fillId="14" borderId="8" xfId="3" applyNumberFormat="1" applyFont="1" applyFill="1" applyBorder="1" applyAlignment="1">
      <alignment horizontal="left" vertical="center"/>
    </xf>
    <xf numFmtId="0" fontId="52" fillId="2" borderId="5" xfId="0" applyFont="1" applyFill="1" applyBorder="1" applyAlignment="1">
      <alignment vertical="center" wrapText="1"/>
    </xf>
    <xf numFmtId="0" fontId="57" fillId="2" borderId="8" xfId="0" applyFont="1" applyFill="1" applyBorder="1" applyAlignment="1">
      <alignment horizontal="left" vertical="center" wrapText="1"/>
    </xf>
    <xf numFmtId="0" fontId="54" fillId="2" borderId="8" xfId="0" applyFont="1" applyFill="1" applyBorder="1" applyAlignment="1">
      <alignment vertical="center" wrapText="1"/>
    </xf>
    <xf numFmtId="0" fontId="54" fillId="2" borderId="8" xfId="0" applyFont="1" applyFill="1" applyBorder="1" applyAlignment="1">
      <alignment horizontal="center" vertical="center"/>
    </xf>
    <xf numFmtId="0" fontId="54" fillId="2" borderId="8" xfId="0" applyFont="1" applyFill="1" applyBorder="1" applyAlignment="1">
      <alignment horizontal="right" vertical="center"/>
    </xf>
    <xf numFmtId="168" fontId="54" fillId="2" borderId="8" xfId="0" applyNumberFormat="1" applyFont="1" applyFill="1" applyBorder="1" applyAlignment="1">
      <alignment horizontal="right" vertical="center"/>
    </xf>
    <xf numFmtId="1" fontId="54" fillId="2" borderId="8" xfId="0" applyNumberFormat="1" applyFont="1" applyFill="1" applyBorder="1" applyAlignment="1">
      <alignment horizontal="right" vertical="center"/>
    </xf>
    <xf numFmtId="3" fontId="54" fillId="2" borderId="8" xfId="0" applyNumberFormat="1" applyFont="1" applyFill="1" applyBorder="1" applyAlignment="1">
      <alignment horizontal="right" vertical="center"/>
    </xf>
    <xf numFmtId="2" fontId="54" fillId="2" borderId="8" xfId="0" applyNumberFormat="1" applyFont="1" applyFill="1" applyBorder="1" applyAlignment="1">
      <alignment horizontal="right" vertical="center"/>
    </xf>
    <xf numFmtId="4" fontId="54" fillId="2" borderId="8" xfId="0" applyNumberFormat="1" applyFont="1" applyFill="1" applyBorder="1" applyAlignment="1">
      <alignment horizontal="right" vertical="center"/>
    </xf>
    <xf numFmtId="2" fontId="52" fillId="2" borderId="7" xfId="0" applyNumberFormat="1" applyFont="1" applyFill="1" applyBorder="1" applyAlignment="1">
      <alignment horizontal="right" vertical="center"/>
    </xf>
    <xf numFmtId="2" fontId="58" fillId="2" borderId="8" xfId="0" applyNumberFormat="1" applyFont="1" applyFill="1" applyBorder="1" applyAlignment="1">
      <alignment horizontal="right" vertical="center" wrapText="1"/>
    </xf>
    <xf numFmtId="0" fontId="52" fillId="0" borderId="0" xfId="0" applyFont="1" applyAlignment="1">
      <alignment vertical="center"/>
    </xf>
    <xf numFmtId="169" fontId="52" fillId="0" borderId="0" xfId="0" applyNumberFormat="1" applyFont="1" applyAlignment="1">
      <alignment vertical="center"/>
    </xf>
    <xf numFmtId="170" fontId="59" fillId="0" borderId="0" xfId="0" applyNumberFormat="1" applyFont="1" applyAlignment="1">
      <alignment vertical="center"/>
    </xf>
    <xf numFmtId="0" fontId="52" fillId="3" borderId="8" xfId="0" applyFont="1" applyFill="1" applyBorder="1" applyAlignment="1">
      <alignment horizontal="center" vertical="center"/>
    </xf>
    <xf numFmtId="0" fontId="56" fillId="4" borderId="8" xfId="3" applyFont="1" applyFill="1" applyBorder="1" applyAlignment="1">
      <alignment horizontal="left" vertical="center"/>
    </xf>
    <xf numFmtId="0" fontId="52" fillId="3" borderId="8" xfId="0" applyFont="1" applyFill="1" applyBorder="1" applyAlignment="1">
      <alignment vertical="center" wrapText="1"/>
    </xf>
    <xf numFmtId="0" fontId="57" fillId="3" borderId="8" xfId="0" applyFont="1" applyFill="1" applyBorder="1" applyAlignment="1">
      <alignment horizontal="left" vertical="center" wrapText="1"/>
    </xf>
    <xf numFmtId="168" fontId="59" fillId="3" borderId="8" xfId="0" applyNumberFormat="1" applyFont="1" applyFill="1" applyBorder="1" applyAlignment="1">
      <alignment horizontal="right" vertical="center"/>
    </xf>
    <xf numFmtId="0" fontId="59" fillId="3" borderId="8" xfId="0" applyFont="1" applyFill="1" applyBorder="1" applyAlignment="1">
      <alignment horizontal="right" vertical="center"/>
    </xf>
    <xf numFmtId="0" fontId="52" fillId="3" borderId="8" xfId="0" applyFont="1" applyFill="1" applyBorder="1" applyAlignment="1">
      <alignment horizontal="right" vertical="center"/>
    </xf>
    <xf numFmtId="168" fontId="52" fillId="3" borderId="8" xfId="1" applyNumberFormat="1" applyFont="1" applyFill="1" applyBorder="1" applyAlignment="1">
      <alignment horizontal="right" vertical="center"/>
    </xf>
    <xf numFmtId="41" fontId="52" fillId="3" borderId="8" xfId="1" applyFont="1" applyFill="1" applyBorder="1" applyAlignment="1">
      <alignment horizontal="right" vertical="center"/>
    </xf>
    <xf numFmtId="3" fontId="52" fillId="3" borderId="8" xfId="1" applyNumberFormat="1" applyFont="1" applyFill="1" applyBorder="1" applyAlignment="1">
      <alignment horizontal="right" vertical="center"/>
    </xf>
    <xf numFmtId="4" fontId="54" fillId="3" borderId="8" xfId="0" applyNumberFormat="1" applyFont="1" applyFill="1" applyBorder="1" applyAlignment="1">
      <alignment horizontal="right" vertical="center"/>
    </xf>
    <xf numFmtId="168" fontId="52" fillId="3" borderId="8" xfId="0" applyNumberFormat="1" applyFont="1" applyFill="1" applyBorder="1" applyAlignment="1">
      <alignment horizontal="right" vertical="center"/>
    </xf>
    <xf numFmtId="169" fontId="60" fillId="0" borderId="0" xfId="1" applyNumberFormat="1" applyFont="1" applyFill="1" applyBorder="1" applyAlignment="1">
      <alignment vertical="center"/>
    </xf>
    <xf numFmtId="169" fontId="54" fillId="0" borderId="0" xfId="1" applyNumberFormat="1" applyFont="1" applyFill="1" applyBorder="1" applyAlignment="1">
      <alignment vertical="center"/>
    </xf>
    <xf numFmtId="0" fontId="51" fillId="0" borderId="8" xfId="0" applyFont="1" applyBorder="1" applyAlignment="1">
      <alignment horizontal="right" vertical="center"/>
    </xf>
    <xf numFmtId="0" fontId="61" fillId="0" borderId="8" xfId="3" applyFont="1" applyBorder="1" applyAlignment="1">
      <alignment horizontal="left" vertical="center"/>
    </xf>
    <xf numFmtId="0" fontId="53" fillId="5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1" fillId="0" borderId="8" xfId="0" applyFont="1" applyBorder="1" applyAlignment="1">
      <alignment vertical="center" wrapText="1"/>
    </xf>
    <xf numFmtId="0" fontId="51" fillId="0" borderId="8" xfId="0" applyFont="1" applyBorder="1" applyAlignment="1">
      <alignment horizontal="center" vertical="center"/>
    </xf>
    <xf numFmtId="0" fontId="62" fillId="0" borderId="8" xfId="0" applyFont="1" applyBorder="1" applyAlignment="1">
      <alignment horizontal="right" vertical="center"/>
    </xf>
    <xf numFmtId="168" fontId="62" fillId="0" borderId="8" xfId="0" applyNumberFormat="1" applyFont="1" applyBorder="1" applyAlignment="1">
      <alignment horizontal="right" vertical="center"/>
    </xf>
    <xf numFmtId="168" fontId="4" fillId="0" borderId="8" xfId="0" applyNumberFormat="1" applyFont="1" applyBorder="1" applyAlignment="1">
      <alignment horizontal="right" vertical="center"/>
    </xf>
    <xf numFmtId="168" fontId="51" fillId="0" borderId="8" xfId="0" applyNumberFormat="1" applyFont="1" applyBorder="1" applyAlignment="1">
      <alignment horizontal="right" vertical="center"/>
    </xf>
    <xf numFmtId="4" fontId="51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3" fontId="51" fillId="0" borderId="8" xfId="0" applyNumberFormat="1" applyFont="1" applyBorder="1" applyAlignment="1">
      <alignment horizontal="right" vertical="center"/>
    </xf>
    <xf numFmtId="2" fontId="51" fillId="0" borderId="8" xfId="0" applyNumberFormat="1" applyFont="1" applyBorder="1" applyAlignment="1">
      <alignment horizontal="right" vertical="center"/>
    </xf>
    <xf numFmtId="1" fontId="62" fillId="0" borderId="8" xfId="0" applyNumberFormat="1" applyFont="1" applyBorder="1" applyAlignment="1">
      <alignment horizontal="right" vertical="center"/>
    </xf>
    <xf numFmtId="2" fontId="62" fillId="0" borderId="8" xfId="0" applyNumberFormat="1" applyFont="1" applyBorder="1" applyAlignment="1">
      <alignment horizontal="right" vertical="center"/>
    </xf>
    <xf numFmtId="4" fontId="62" fillId="0" borderId="8" xfId="0" applyNumberFormat="1" applyFont="1" applyBorder="1" applyAlignment="1">
      <alignment horizontal="right" vertical="center"/>
    </xf>
    <xf numFmtId="171" fontId="51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61" fillId="3" borderId="8" xfId="3" applyFont="1" applyFill="1" applyBorder="1" applyAlignment="1">
      <alignment horizontal="left" vertical="center"/>
    </xf>
    <xf numFmtId="0" fontId="4" fillId="3" borderId="8" xfId="0" applyFont="1" applyFill="1" applyBorder="1" applyAlignment="1">
      <alignment vertical="center" wrapText="1"/>
    </xf>
    <xf numFmtId="0" fontId="52" fillId="3" borderId="8" xfId="0" applyFont="1" applyFill="1" applyBorder="1" applyAlignment="1">
      <alignment horizontal="center" vertical="center" wrapText="1"/>
    </xf>
    <xf numFmtId="0" fontId="63" fillId="3" borderId="8" xfId="0" applyFont="1" applyFill="1" applyBorder="1" applyAlignment="1">
      <alignment horizontal="right" vertical="center"/>
    </xf>
    <xf numFmtId="168" fontId="63" fillId="3" borderId="8" xfId="0" applyNumberFormat="1" applyFont="1" applyFill="1" applyBorder="1" applyAlignment="1">
      <alignment horizontal="right" vertical="center"/>
    </xf>
    <xf numFmtId="0" fontId="51" fillId="3" borderId="8" xfId="0" applyFont="1" applyFill="1" applyBorder="1" applyAlignment="1">
      <alignment horizontal="right" vertical="center"/>
    </xf>
    <xf numFmtId="2" fontId="54" fillId="3" borderId="8" xfId="0" applyNumberFormat="1" applyFont="1" applyFill="1" applyBorder="1" applyAlignment="1">
      <alignment horizontal="right" vertical="center"/>
    </xf>
    <xf numFmtId="168" fontId="51" fillId="3" borderId="8" xfId="0" applyNumberFormat="1" applyFont="1" applyFill="1" applyBorder="1" applyAlignment="1">
      <alignment horizontal="right" vertical="center"/>
    </xf>
    <xf numFmtId="2" fontId="51" fillId="3" borderId="8" xfId="0" applyNumberFormat="1" applyFont="1" applyFill="1" applyBorder="1" applyAlignment="1">
      <alignment horizontal="right" vertical="center"/>
    </xf>
    <xf numFmtId="4" fontId="51" fillId="3" borderId="8" xfId="0" applyNumberFormat="1" applyFont="1" applyFill="1" applyBorder="1" applyAlignment="1">
      <alignment horizontal="right" vertical="center"/>
    </xf>
    <xf numFmtId="0" fontId="51" fillId="3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 wrapText="1"/>
    </xf>
    <xf numFmtId="0" fontId="63" fillId="0" borderId="8" xfId="0" applyFont="1" applyBorder="1" applyAlignment="1">
      <alignment horizontal="right" vertical="center"/>
    </xf>
    <xf numFmtId="168" fontId="63" fillId="0" borderId="8" xfId="0" applyNumberFormat="1" applyFont="1" applyBorder="1" applyAlignment="1">
      <alignment horizontal="right" vertical="center"/>
    </xf>
    <xf numFmtId="2" fontId="54" fillId="0" borderId="8" xfId="0" applyNumberFormat="1" applyFont="1" applyBorder="1" applyAlignment="1">
      <alignment horizontal="right" vertical="center"/>
    </xf>
    <xf numFmtId="2" fontId="62" fillId="0" borderId="7" xfId="0" applyNumberFormat="1" applyFont="1" applyBorder="1" applyAlignment="1">
      <alignment horizontal="right" vertical="center"/>
    </xf>
    <xf numFmtId="0" fontId="56" fillId="3" borderId="8" xfId="3" applyFont="1" applyFill="1" applyBorder="1" applyAlignment="1">
      <alignment horizontal="left" vertical="center"/>
    </xf>
    <xf numFmtId="0" fontId="53" fillId="3" borderId="5" xfId="0" applyFont="1" applyFill="1" applyBorder="1" applyAlignment="1">
      <alignment vertical="center" wrapText="1"/>
    </xf>
    <xf numFmtId="0" fontId="64" fillId="3" borderId="8" xfId="0" applyFont="1" applyFill="1" applyBorder="1" applyAlignment="1">
      <alignment horizontal="right" vertical="center"/>
    </xf>
    <xf numFmtId="168" fontId="64" fillId="3" borderId="8" xfId="0" applyNumberFormat="1" applyFont="1" applyFill="1" applyBorder="1" applyAlignment="1">
      <alignment horizontal="right" vertical="center"/>
    </xf>
    <xf numFmtId="172" fontId="52" fillId="3" borderId="8" xfId="1" applyNumberFormat="1" applyFont="1" applyFill="1" applyBorder="1" applyAlignment="1">
      <alignment horizontal="right" vertical="center"/>
    </xf>
    <xf numFmtId="177" fontId="65" fillId="3" borderId="8" xfId="1" applyNumberFormat="1" applyFont="1" applyFill="1" applyBorder="1" applyAlignment="1">
      <alignment horizontal="right" vertical="center"/>
    </xf>
    <xf numFmtId="168" fontId="62" fillId="3" borderId="8" xfId="0" applyNumberFormat="1" applyFont="1" applyFill="1" applyBorder="1" applyAlignment="1">
      <alignment horizontal="right" vertical="center"/>
    </xf>
    <xf numFmtId="2" fontId="64" fillId="3" borderId="7" xfId="0" applyNumberFormat="1" applyFont="1" applyFill="1" applyBorder="1" applyAlignment="1">
      <alignment horizontal="right" vertical="center"/>
    </xf>
    <xf numFmtId="4" fontId="64" fillId="3" borderId="8" xfId="0" applyNumberFormat="1" applyFont="1" applyFill="1" applyBorder="1" applyAlignment="1">
      <alignment horizontal="right" vertical="center"/>
    </xf>
    <xf numFmtId="0" fontId="53" fillId="5" borderId="5" xfId="0" applyFont="1" applyFill="1" applyBorder="1" applyAlignment="1">
      <alignment vertical="center" wrapText="1"/>
    </xf>
    <xf numFmtId="0" fontId="51" fillId="0" borderId="8" xfId="0" applyFont="1" applyBorder="1" applyAlignment="1">
      <alignment horizontal="center" vertical="center" wrapText="1"/>
    </xf>
    <xf numFmtId="21" fontId="56" fillId="2" borderId="8" xfId="3" applyNumberFormat="1" applyFont="1" applyFill="1" applyBorder="1" applyAlignment="1">
      <alignment horizontal="left" vertical="center"/>
    </xf>
    <xf numFmtId="0" fontId="53" fillId="2" borderId="5" xfId="0" applyFont="1" applyFill="1" applyBorder="1" applyAlignment="1">
      <alignment vertical="center" wrapText="1"/>
    </xf>
    <xf numFmtId="1" fontId="58" fillId="2" borderId="8" xfId="0" applyNumberFormat="1" applyFont="1" applyFill="1" applyBorder="1" applyAlignment="1">
      <alignment horizontal="right" vertical="center" wrapText="1"/>
    </xf>
    <xf numFmtId="175" fontId="54" fillId="2" borderId="8" xfId="0" applyNumberFormat="1" applyFont="1" applyFill="1" applyBorder="1" applyAlignment="1">
      <alignment horizontal="right" vertical="center"/>
    </xf>
    <xf numFmtId="2" fontId="54" fillId="2" borderId="7" xfId="0" applyNumberFormat="1" applyFont="1" applyFill="1" applyBorder="1" applyAlignment="1">
      <alignment horizontal="right" vertical="center"/>
    </xf>
    <xf numFmtId="169" fontId="52" fillId="0" borderId="0" xfId="1" applyNumberFormat="1" applyFont="1" applyFill="1" applyBorder="1" applyAlignment="1">
      <alignment vertical="center"/>
    </xf>
    <xf numFmtId="169" fontId="51" fillId="0" borderId="0" xfId="1" applyNumberFormat="1" applyFont="1" applyFill="1" applyBorder="1" applyAlignment="1">
      <alignment vertical="center"/>
    </xf>
    <xf numFmtId="2" fontId="51" fillId="3" borderId="7" xfId="0" applyNumberFormat="1" applyFont="1" applyFill="1" applyBorder="1" applyAlignment="1">
      <alignment horizontal="right" vertical="center"/>
    </xf>
    <xf numFmtId="0" fontId="4" fillId="0" borderId="8" xfId="3" applyFont="1" applyBorder="1" applyAlignment="1">
      <alignment horizontal="left" vertical="center"/>
    </xf>
    <xf numFmtId="4" fontId="54" fillId="0" borderId="8" xfId="0" applyNumberFormat="1" applyFont="1" applyBorder="1" applyAlignment="1">
      <alignment horizontal="right" vertical="center"/>
    </xf>
    <xf numFmtId="168" fontId="62" fillId="0" borderId="1" xfId="0" applyNumberFormat="1" applyFont="1" applyBorder="1" applyAlignment="1">
      <alignment horizontal="right" vertical="center"/>
    </xf>
    <xf numFmtId="2" fontId="62" fillId="0" borderId="3" xfId="0" applyNumberFormat="1" applyFont="1" applyBorder="1" applyAlignment="1">
      <alignment horizontal="right" vertical="center"/>
    </xf>
    <xf numFmtId="4" fontId="62" fillId="0" borderId="1" xfId="0" applyNumberFormat="1" applyFont="1" applyBorder="1" applyAlignment="1">
      <alignment horizontal="right" vertical="center"/>
    </xf>
    <xf numFmtId="0" fontId="51" fillId="0" borderId="1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left" vertical="center" wrapText="1"/>
    </xf>
    <xf numFmtId="0" fontId="51" fillId="0" borderId="15" xfId="0" applyFont="1" applyBorder="1" applyAlignment="1">
      <alignment vertical="center" wrapText="1"/>
    </xf>
    <xf numFmtId="0" fontId="51" fillId="0" borderId="15" xfId="0" applyFont="1" applyBorder="1" applyAlignment="1">
      <alignment horizontal="center" vertical="center"/>
    </xf>
    <xf numFmtId="168" fontId="62" fillId="0" borderId="15" xfId="0" applyNumberFormat="1" applyFont="1" applyBorder="1" applyAlignment="1">
      <alignment horizontal="right" vertical="center"/>
    </xf>
    <xf numFmtId="0" fontId="62" fillId="0" borderId="15" xfId="0" applyFont="1" applyBorder="1" applyAlignment="1">
      <alignment horizontal="right" vertical="center"/>
    </xf>
    <xf numFmtId="0" fontId="51" fillId="0" borderId="15" xfId="0" applyFont="1" applyBorder="1" applyAlignment="1">
      <alignment horizontal="right" vertical="center"/>
    </xf>
    <xf numFmtId="168" fontId="51" fillId="0" borderId="15" xfId="0" applyNumberFormat="1" applyFont="1" applyBorder="1" applyAlignment="1">
      <alignment horizontal="right" vertical="center"/>
    </xf>
    <xf numFmtId="3" fontId="51" fillId="0" borderId="1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51" fillId="0" borderId="12" xfId="0" applyFont="1" applyBorder="1" applyAlignment="1">
      <alignment horizontal="right" vertical="center"/>
    </xf>
    <xf numFmtId="2" fontId="51" fillId="0" borderId="15" xfId="0" applyNumberFormat="1" applyFont="1" applyBorder="1" applyAlignment="1">
      <alignment horizontal="right" vertical="center"/>
    </xf>
    <xf numFmtId="4" fontId="54" fillId="0" borderId="15" xfId="0" applyNumberFormat="1" applyFont="1" applyBorder="1" applyAlignment="1">
      <alignment horizontal="right" vertical="center"/>
    </xf>
    <xf numFmtId="0" fontId="57" fillId="3" borderId="1" xfId="0" applyFont="1" applyFill="1" applyBorder="1" applyAlignment="1">
      <alignment horizontal="left" vertical="center" wrapText="1"/>
    </xf>
    <xf numFmtId="0" fontId="52" fillId="3" borderId="1" xfId="0" applyFont="1" applyFill="1" applyBorder="1" applyAlignment="1">
      <alignment vertical="center" wrapText="1"/>
    </xf>
    <xf numFmtId="0" fontId="52" fillId="3" borderId="1" xfId="0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right" vertical="center"/>
    </xf>
    <xf numFmtId="168" fontId="59" fillId="3" borderId="1" xfId="0" applyNumberFormat="1" applyFont="1" applyFill="1" applyBorder="1" applyAlignment="1">
      <alignment horizontal="right" vertical="center"/>
    </xf>
    <xf numFmtId="0" fontId="52" fillId="3" borderId="1" xfId="0" applyFont="1" applyFill="1" applyBorder="1" applyAlignment="1">
      <alignment horizontal="right" vertical="center"/>
    </xf>
    <xf numFmtId="168" fontId="52" fillId="3" borderId="1" xfId="1" applyNumberFormat="1" applyFont="1" applyFill="1" applyBorder="1" applyAlignment="1">
      <alignment horizontal="right" vertical="center"/>
    </xf>
    <xf numFmtId="41" fontId="52" fillId="3" borderId="1" xfId="1" applyFont="1" applyFill="1" applyBorder="1" applyAlignment="1">
      <alignment horizontal="right" vertical="center"/>
    </xf>
    <xf numFmtId="3" fontId="52" fillId="3" borderId="1" xfId="0" applyNumberFormat="1" applyFont="1" applyFill="1" applyBorder="1" applyAlignment="1">
      <alignment horizontal="right" vertical="center"/>
    </xf>
    <xf numFmtId="168" fontId="52" fillId="3" borderId="1" xfId="0" applyNumberFormat="1" applyFont="1" applyFill="1" applyBorder="1" applyAlignment="1">
      <alignment horizontal="right" vertical="center"/>
    </xf>
    <xf numFmtId="4" fontId="52" fillId="3" borderId="8" xfId="0" applyNumberFormat="1" applyFont="1" applyFill="1" applyBorder="1" applyAlignment="1">
      <alignment horizontal="right" vertical="center"/>
    </xf>
    <xf numFmtId="1" fontId="51" fillId="3" borderId="1" xfId="0" applyNumberFormat="1" applyFont="1" applyFill="1" applyBorder="1" applyAlignment="1">
      <alignment horizontal="right" vertical="center"/>
    </xf>
    <xf numFmtId="168" fontId="51" fillId="3" borderId="1" xfId="0" applyNumberFormat="1" applyFont="1" applyFill="1" applyBorder="1" applyAlignment="1">
      <alignment horizontal="right" vertical="center"/>
    </xf>
    <xf numFmtId="0" fontId="52" fillId="3" borderId="3" xfId="0" applyFont="1" applyFill="1" applyBorder="1" applyAlignment="1">
      <alignment horizontal="right" vertical="center"/>
    </xf>
    <xf numFmtId="4" fontId="52" fillId="3" borderId="1" xfId="0" applyNumberFormat="1" applyFont="1" applyFill="1" applyBorder="1" applyAlignment="1">
      <alignment horizontal="right" vertical="center"/>
    </xf>
    <xf numFmtId="0" fontId="51" fillId="0" borderId="6" xfId="0" applyFont="1" applyBorder="1" applyAlignment="1">
      <alignment horizontal="center" vertical="center"/>
    </xf>
    <xf numFmtId="0" fontId="51" fillId="0" borderId="7" xfId="0" applyFont="1" applyBorder="1" applyAlignment="1">
      <alignment horizontal="right" vertical="center"/>
    </xf>
    <xf numFmtId="168" fontId="51" fillId="0" borderId="6" xfId="0" applyNumberFormat="1" applyFont="1" applyBorder="1" applyAlignment="1">
      <alignment horizontal="right" vertical="center"/>
    </xf>
    <xf numFmtId="0" fontId="51" fillId="0" borderId="8" xfId="0" applyFont="1" applyBorder="1" applyAlignment="1">
      <alignment vertical="center"/>
    </xf>
    <xf numFmtId="168" fontId="4" fillId="0" borderId="8" xfId="0" applyNumberFormat="1" applyFont="1" applyBorder="1" applyAlignment="1">
      <alignment vertical="center"/>
    </xf>
    <xf numFmtId="171" fontId="4" fillId="0" borderId="6" xfId="0" applyNumberFormat="1" applyFont="1" applyBorder="1" applyAlignment="1">
      <alignment vertical="center"/>
    </xf>
    <xf numFmtId="2" fontId="51" fillId="0" borderId="7" xfId="0" applyNumberFormat="1" applyFont="1" applyBorder="1" applyAlignment="1">
      <alignment horizontal="right" vertical="center"/>
    </xf>
    <xf numFmtId="4" fontId="51" fillId="0" borderId="5" xfId="0" applyNumberFormat="1" applyFont="1" applyBorder="1" applyAlignment="1">
      <alignment horizontal="right" vertical="center"/>
    </xf>
    <xf numFmtId="1" fontId="62" fillId="0" borderId="15" xfId="0" applyNumberFormat="1" applyFont="1" applyBorder="1" applyAlignment="1">
      <alignment horizontal="right" vertical="center"/>
    </xf>
    <xf numFmtId="2" fontId="62" fillId="0" borderId="13" xfId="0" applyNumberFormat="1" applyFont="1" applyBorder="1" applyAlignment="1">
      <alignment horizontal="right" vertical="center"/>
    </xf>
    <xf numFmtId="4" fontId="62" fillId="0" borderId="15" xfId="0" applyNumberFormat="1" applyFont="1" applyBorder="1" applyAlignment="1">
      <alignment horizontal="right" vertical="center"/>
    </xf>
    <xf numFmtId="0" fontId="51" fillId="0" borderId="1" xfId="0" applyFont="1" applyBorder="1" applyAlignment="1">
      <alignment horizontal="right" vertical="center"/>
    </xf>
    <xf numFmtId="0" fontId="53" fillId="7" borderId="5" xfId="0" applyFont="1" applyFill="1" applyBorder="1" applyAlignment="1">
      <alignment vertical="center" wrapText="1"/>
    </xf>
    <xf numFmtId="3" fontId="52" fillId="3" borderId="8" xfId="0" applyNumberFormat="1" applyFont="1" applyFill="1" applyBorder="1" applyAlignment="1">
      <alignment horizontal="right" vertical="center"/>
    </xf>
    <xf numFmtId="1" fontId="51" fillId="3" borderId="8" xfId="0" applyNumberFormat="1" applyFont="1" applyFill="1" applyBorder="1" applyAlignment="1">
      <alignment horizontal="right" vertical="center"/>
    </xf>
    <xf numFmtId="2" fontId="52" fillId="3" borderId="7" xfId="0" applyNumberFormat="1" applyFont="1" applyFill="1" applyBorder="1" applyAlignment="1">
      <alignment horizontal="right" vertical="center"/>
    </xf>
    <xf numFmtId="0" fontId="61" fillId="0" borderId="7" xfId="3" applyFont="1" applyBorder="1" applyAlignment="1">
      <alignment horizontal="left" vertical="center"/>
    </xf>
    <xf numFmtId="0" fontId="53" fillId="5" borderId="5" xfId="0" applyFont="1" applyFill="1" applyBorder="1" applyAlignment="1">
      <alignment horizontal="left" vertical="center" wrapText="1"/>
    </xf>
    <xf numFmtId="168" fontId="55" fillId="2" borderId="8" xfId="0" applyNumberFormat="1" applyFont="1" applyFill="1" applyBorder="1" applyAlignment="1">
      <alignment horizontal="right" vertical="center"/>
    </xf>
    <xf numFmtId="1" fontId="55" fillId="2" borderId="8" xfId="0" applyNumberFormat="1" applyFont="1" applyFill="1" applyBorder="1" applyAlignment="1">
      <alignment horizontal="right" vertical="center"/>
    </xf>
    <xf numFmtId="4" fontId="55" fillId="2" borderId="8" xfId="0" applyNumberFormat="1" applyFont="1" applyFill="1" applyBorder="1" applyAlignment="1">
      <alignment horizontal="right" vertical="center"/>
    </xf>
    <xf numFmtId="0" fontId="55" fillId="2" borderId="8" xfId="0" applyFont="1" applyFill="1" applyBorder="1" applyAlignment="1">
      <alignment horizontal="right" vertical="center"/>
    </xf>
    <xf numFmtId="2" fontId="55" fillId="2" borderId="8" xfId="0" applyNumberFormat="1" applyFont="1" applyFill="1" applyBorder="1" applyAlignment="1">
      <alignment horizontal="right" vertical="center"/>
    </xf>
    <xf numFmtId="2" fontId="55" fillId="2" borderId="7" xfId="0" applyNumberFormat="1" applyFont="1" applyFill="1" applyBorder="1" applyAlignment="1">
      <alignment horizontal="right" vertical="center"/>
    </xf>
    <xf numFmtId="2" fontId="52" fillId="3" borderId="8" xfId="0" applyNumberFormat="1" applyFont="1" applyFill="1" applyBorder="1" applyAlignment="1">
      <alignment horizontal="right" vertical="center"/>
    </xf>
    <xf numFmtId="1" fontId="62" fillId="3" borderId="8" xfId="0" applyNumberFormat="1" applyFont="1" applyFill="1" applyBorder="1" applyAlignment="1">
      <alignment horizontal="right" vertical="center"/>
    </xf>
    <xf numFmtId="0" fontId="62" fillId="3" borderId="7" xfId="0" applyFont="1" applyFill="1" applyBorder="1" applyAlignment="1">
      <alignment horizontal="right" vertical="center"/>
    </xf>
    <xf numFmtId="1" fontId="51" fillId="0" borderId="8" xfId="0" quotePrefix="1" applyNumberFormat="1" applyFont="1" applyBorder="1" applyAlignment="1">
      <alignment horizontal="right" vertical="center"/>
    </xf>
    <xf numFmtId="0" fontId="51" fillId="0" borderId="10" xfId="0" applyFont="1" applyBorder="1" applyAlignment="1">
      <alignment horizontal="right" vertical="center"/>
    </xf>
    <xf numFmtId="0" fontId="61" fillId="0" borderId="1" xfId="3" applyFont="1" applyBorder="1" applyAlignment="1">
      <alignment horizontal="left" vertical="center"/>
    </xf>
    <xf numFmtId="0" fontId="53" fillId="5" borderId="6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62" fillId="0" borderId="1" xfId="0" applyFont="1" applyBorder="1" applyAlignment="1">
      <alignment horizontal="right" vertical="center"/>
    </xf>
    <xf numFmtId="0" fontId="51" fillId="0" borderId="6" xfId="0" applyFont="1" applyBorder="1" applyAlignment="1">
      <alignment horizontal="right" vertical="center"/>
    </xf>
    <xf numFmtId="168" fontId="51" fillId="0" borderId="1" xfId="0" applyNumberFormat="1" applyFont="1" applyBorder="1" applyAlignment="1">
      <alignment horizontal="right" vertical="center"/>
    </xf>
    <xf numFmtId="3" fontId="51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2" fontId="51" fillId="0" borderId="2" xfId="0" applyNumberFormat="1" applyFont="1" applyBorder="1" applyAlignment="1">
      <alignment horizontal="right" vertical="center"/>
    </xf>
    <xf numFmtId="4" fontId="51" fillId="0" borderId="1" xfId="0" applyNumberFormat="1" applyFont="1" applyBorder="1" applyAlignment="1">
      <alignment horizontal="right" vertical="center"/>
    </xf>
    <xf numFmtId="1" fontId="62" fillId="0" borderId="3" xfId="0" applyNumberFormat="1" applyFont="1" applyBorder="1" applyAlignment="1">
      <alignment horizontal="right" vertical="center"/>
    </xf>
    <xf numFmtId="168" fontId="62" fillId="0" borderId="2" xfId="0" applyNumberFormat="1" applyFont="1" applyBorder="1" applyAlignment="1">
      <alignment horizontal="right" vertical="center"/>
    </xf>
    <xf numFmtId="2" fontId="62" fillId="0" borderId="1" xfId="0" applyNumberFormat="1" applyFont="1" applyBorder="1" applyAlignment="1">
      <alignment horizontal="right" vertical="center"/>
    </xf>
    <xf numFmtId="0" fontId="51" fillId="0" borderId="3" xfId="0" applyFont="1" applyBorder="1" applyAlignment="1">
      <alignment horizontal="center" vertical="center"/>
    </xf>
    <xf numFmtId="0" fontId="51" fillId="0" borderId="2" xfId="0" applyFont="1" applyBorder="1" applyAlignment="1">
      <alignment horizontal="right" vertical="center"/>
    </xf>
    <xf numFmtId="0" fontId="53" fillId="5" borderId="7" xfId="0" applyFont="1" applyFill="1" applyBorder="1" applyAlignment="1">
      <alignment vertical="center" wrapText="1"/>
    </xf>
    <xf numFmtId="0" fontId="51" fillId="0" borderId="7" xfId="0" applyFont="1" applyBorder="1" applyAlignment="1">
      <alignment vertical="center" wrapText="1"/>
    </xf>
    <xf numFmtId="0" fontId="51" fillId="0" borderId="5" xfId="0" applyFont="1" applyBorder="1" applyAlignment="1">
      <alignment horizontal="center" vertical="center"/>
    </xf>
    <xf numFmtId="168" fontId="51" fillId="0" borderId="2" xfId="0" applyNumberFormat="1" applyFont="1" applyBorder="1" applyAlignment="1">
      <alignment horizontal="right" vertical="center"/>
    </xf>
    <xf numFmtId="168" fontId="51" fillId="0" borderId="5" xfId="0" applyNumberFormat="1" applyFont="1" applyBorder="1" applyAlignment="1">
      <alignment horizontal="right" vertical="center"/>
    </xf>
    <xf numFmtId="171" fontId="51" fillId="0" borderId="6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2" fontId="51" fillId="0" borderId="4" xfId="0" applyNumberFormat="1" applyFont="1" applyBorder="1" applyAlignment="1">
      <alignment horizontal="right" vertical="center"/>
    </xf>
    <xf numFmtId="4" fontId="51" fillId="0" borderId="2" xfId="0" applyNumberFormat="1" applyFont="1" applyBorder="1" applyAlignment="1">
      <alignment horizontal="right" vertical="center"/>
    </xf>
    <xf numFmtId="1" fontId="62" fillId="0" borderId="1" xfId="0" applyNumberFormat="1" applyFont="1" applyBorder="1" applyAlignment="1">
      <alignment horizontal="right" vertical="center"/>
    </xf>
    <xf numFmtId="168" fontId="54" fillId="2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51" fillId="3" borderId="3" xfId="0" applyFont="1" applyFill="1" applyBorder="1" applyAlignment="1">
      <alignment horizontal="right" vertical="center"/>
    </xf>
    <xf numFmtId="0" fontId="51" fillId="0" borderId="5" xfId="0" applyFont="1" applyBorder="1" applyAlignment="1">
      <alignment horizontal="right" vertical="center"/>
    </xf>
    <xf numFmtId="2" fontId="62" fillId="0" borderId="15" xfId="0" applyNumberFormat="1" applyFont="1" applyBorder="1" applyAlignment="1">
      <alignment horizontal="right" vertical="center"/>
    </xf>
    <xf numFmtId="0" fontId="4" fillId="5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54" fillId="2" borderId="1" xfId="0" applyNumberFormat="1" applyFont="1" applyFill="1" applyBorder="1" applyAlignment="1">
      <alignment horizontal="right" vertical="center"/>
    </xf>
    <xf numFmtId="0" fontId="52" fillId="9" borderId="8" xfId="0" applyFont="1" applyFill="1" applyBorder="1" applyAlignment="1">
      <alignment horizontal="center" vertical="center"/>
    </xf>
    <xf numFmtId="0" fontId="53" fillId="7" borderId="8" xfId="0" applyFont="1" applyFill="1" applyBorder="1" applyAlignment="1">
      <alignment vertical="center" wrapText="1"/>
    </xf>
    <xf numFmtId="0" fontId="57" fillId="9" borderId="8" xfId="0" applyFont="1" applyFill="1" applyBorder="1" applyAlignment="1">
      <alignment horizontal="left" vertical="center" wrapText="1"/>
    </xf>
    <xf numFmtId="0" fontId="52" fillId="9" borderId="8" xfId="0" applyFont="1" applyFill="1" applyBorder="1" applyAlignment="1">
      <alignment vertical="center" wrapText="1"/>
    </xf>
    <xf numFmtId="0" fontId="64" fillId="9" borderId="8" xfId="0" applyFont="1" applyFill="1" applyBorder="1" applyAlignment="1">
      <alignment horizontal="right" vertical="center"/>
    </xf>
    <xf numFmtId="168" fontId="64" fillId="9" borderId="8" xfId="0" applyNumberFormat="1" applyFont="1" applyFill="1" applyBorder="1" applyAlignment="1">
      <alignment horizontal="right" vertical="center"/>
    </xf>
    <xf numFmtId="0" fontId="52" fillId="9" borderId="8" xfId="0" applyFont="1" applyFill="1" applyBorder="1" applyAlignment="1">
      <alignment horizontal="right" vertical="center"/>
    </xf>
    <xf numFmtId="168" fontId="52" fillId="9" borderId="8" xfId="1" applyNumberFormat="1" applyFont="1" applyFill="1" applyBorder="1" applyAlignment="1">
      <alignment horizontal="right" vertical="center"/>
    </xf>
    <xf numFmtId="1" fontId="52" fillId="9" borderId="8" xfId="1" applyNumberFormat="1" applyFont="1" applyFill="1" applyBorder="1" applyAlignment="1">
      <alignment horizontal="right" vertical="center"/>
    </xf>
    <xf numFmtId="1" fontId="52" fillId="9" borderId="15" xfId="0" applyNumberFormat="1" applyFont="1" applyFill="1" applyBorder="1" applyAlignment="1">
      <alignment horizontal="right" vertical="center"/>
    </xf>
    <xf numFmtId="2" fontId="52" fillId="9" borderId="8" xfId="0" applyNumberFormat="1" applyFont="1" applyFill="1" applyBorder="1" applyAlignment="1">
      <alignment horizontal="right" vertical="center"/>
    </xf>
    <xf numFmtId="1" fontId="51" fillId="9" borderId="8" xfId="0" applyNumberFormat="1" applyFont="1" applyFill="1" applyBorder="1" applyAlignment="1">
      <alignment horizontal="right" vertical="center"/>
    </xf>
    <xf numFmtId="168" fontId="51" fillId="9" borderId="8" xfId="0" applyNumberFormat="1" applyFont="1" applyFill="1" applyBorder="1" applyAlignment="1">
      <alignment horizontal="right" vertical="center"/>
    </xf>
    <xf numFmtId="2" fontId="51" fillId="9" borderId="8" xfId="0" applyNumberFormat="1" applyFont="1" applyFill="1" applyBorder="1" applyAlignment="1">
      <alignment horizontal="right" vertical="center"/>
    </xf>
    <xf numFmtId="0" fontId="51" fillId="0" borderId="9" xfId="0" applyFont="1" applyBorder="1" applyAlignment="1">
      <alignment horizontal="right" vertical="center"/>
    </xf>
    <xf numFmtId="168" fontId="51" fillId="0" borderId="9" xfId="0" applyNumberFormat="1" applyFont="1" applyBorder="1" applyAlignment="1">
      <alignment horizontal="right" vertical="center"/>
    </xf>
    <xf numFmtId="2" fontId="51" fillId="0" borderId="9" xfId="0" applyNumberFormat="1" applyFont="1" applyBorder="1" applyAlignment="1">
      <alignment horizontal="right" vertical="center"/>
    </xf>
    <xf numFmtId="1" fontId="62" fillId="0" borderId="9" xfId="0" applyNumberFormat="1" applyFont="1" applyBorder="1" applyAlignment="1">
      <alignment horizontal="right" vertical="center"/>
    </xf>
    <xf numFmtId="168" fontId="62" fillId="0" borderId="9" xfId="0" applyNumberFormat="1" applyFont="1" applyBorder="1" applyAlignment="1">
      <alignment horizontal="right" vertical="center"/>
    </xf>
    <xf numFmtId="2" fontId="62" fillId="0" borderId="11" xfId="0" applyNumberFormat="1" applyFont="1" applyBorder="1" applyAlignment="1">
      <alignment horizontal="right" vertical="center"/>
    </xf>
    <xf numFmtId="2" fontId="62" fillId="0" borderId="9" xfId="0" applyNumberFormat="1" applyFont="1" applyBorder="1" applyAlignment="1">
      <alignment horizontal="right" vertical="center"/>
    </xf>
    <xf numFmtId="0" fontId="5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4" fontId="51" fillId="0" borderId="15" xfId="0" applyNumberFormat="1" applyFont="1" applyBorder="1" applyAlignment="1">
      <alignment horizontal="right" vertical="center"/>
    </xf>
    <xf numFmtId="0" fontId="52" fillId="2" borderId="5" xfId="0" applyFont="1" applyFill="1" applyBorder="1" applyAlignment="1">
      <alignment horizontal="center" vertical="center"/>
    </xf>
    <xf numFmtId="21" fontId="52" fillId="2" borderId="8" xfId="0" applyNumberFormat="1" applyFont="1" applyFill="1" applyBorder="1" applyAlignment="1">
      <alignment horizontal="left" vertical="center"/>
    </xf>
    <xf numFmtId="0" fontId="53" fillId="2" borderId="8" xfId="0" applyFont="1" applyFill="1" applyBorder="1" applyAlignment="1">
      <alignment vertical="center" wrapText="1"/>
    </xf>
    <xf numFmtId="0" fontId="51" fillId="3" borderId="5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left" vertical="center"/>
    </xf>
    <xf numFmtId="0" fontId="53" fillId="3" borderId="8" xfId="0" applyFont="1" applyFill="1" applyBorder="1" applyAlignment="1">
      <alignment vertical="center" wrapText="1"/>
    </xf>
    <xf numFmtId="168" fontId="54" fillId="3" borderId="8" xfId="0" applyNumberFormat="1" applyFont="1" applyFill="1" applyBorder="1" applyAlignment="1">
      <alignment horizontal="right" vertical="center"/>
    </xf>
    <xf numFmtId="0" fontId="51" fillId="0" borderId="8" xfId="0" applyFont="1" applyBorder="1" applyAlignment="1">
      <alignment horizontal="left" vertical="center"/>
    </xf>
    <xf numFmtId="173" fontId="54" fillId="2" borderId="8" xfId="0" applyNumberFormat="1" applyFont="1" applyFill="1" applyBorder="1" applyAlignment="1">
      <alignment horizontal="right" vertical="center"/>
    </xf>
    <xf numFmtId="2" fontId="52" fillId="2" borderId="8" xfId="0" applyNumberFormat="1" applyFont="1" applyFill="1" applyBorder="1" applyAlignment="1">
      <alignment horizontal="right" vertical="center"/>
    </xf>
    <xf numFmtId="0" fontId="52" fillId="3" borderId="8" xfId="0" applyFont="1" applyFill="1" applyBorder="1" applyAlignment="1">
      <alignment vertical="center"/>
    </xf>
    <xf numFmtId="168" fontId="64" fillId="0" borderId="8" xfId="0" applyNumberFormat="1" applyFont="1" applyBorder="1" applyAlignment="1">
      <alignment horizontal="right" vertical="center"/>
    </xf>
    <xf numFmtId="0" fontId="52" fillId="0" borderId="5" xfId="0" applyFont="1" applyBorder="1" applyAlignment="1">
      <alignment horizontal="left" vertical="center"/>
    </xf>
    <xf numFmtId="0" fontId="52" fillId="0" borderId="6" xfId="0" applyFont="1" applyBorder="1" applyAlignment="1">
      <alignment vertical="center"/>
    </xf>
    <xf numFmtId="0" fontId="53" fillId="6" borderId="8" xfId="0" applyFont="1" applyFill="1" applyBorder="1" applyAlignment="1">
      <alignment horizontal="left" vertical="center" wrapText="1"/>
    </xf>
    <xf numFmtId="0" fontId="53" fillId="0" borderId="8" xfId="0" applyFont="1" applyBorder="1" applyAlignment="1">
      <alignment vertical="center" wrapText="1"/>
    </xf>
    <xf numFmtId="0" fontId="53" fillId="0" borderId="8" xfId="0" applyFont="1" applyBorder="1" applyAlignment="1">
      <alignment horizontal="center" vertical="center"/>
    </xf>
    <xf numFmtId="0" fontId="53" fillId="0" borderId="8" xfId="0" applyFont="1" applyBorder="1" applyAlignment="1">
      <alignment horizontal="right" vertical="center"/>
    </xf>
    <xf numFmtId="168" fontId="53" fillId="0" borderId="8" xfId="0" applyNumberFormat="1" applyFont="1" applyBorder="1" applyAlignment="1">
      <alignment horizontal="right" vertical="center"/>
    </xf>
    <xf numFmtId="3" fontId="53" fillId="0" borderId="8" xfId="0" applyNumberFormat="1" applyFont="1" applyBorder="1" applyAlignment="1">
      <alignment horizontal="right" vertical="center"/>
    </xf>
    <xf numFmtId="0" fontId="52" fillId="0" borderId="10" xfId="0" applyFont="1" applyBorder="1" applyAlignment="1">
      <alignment horizontal="left" vertical="center"/>
    </xf>
    <xf numFmtId="0" fontId="53" fillId="5" borderId="0" xfId="0" applyFont="1" applyFill="1" applyAlignment="1">
      <alignment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1" fillId="0" borderId="0" xfId="0" applyFont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3" fontId="62" fillId="0" borderId="0" xfId="0" applyNumberFormat="1" applyFont="1" applyAlignment="1">
      <alignment horizontal="right" vertical="center"/>
    </xf>
    <xf numFmtId="168" fontId="62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171" fontId="51" fillId="0" borderId="0" xfId="0" applyNumberFormat="1" applyFont="1" applyAlignment="1">
      <alignment horizontal="right" vertical="center"/>
    </xf>
    <xf numFmtId="171" fontId="62" fillId="0" borderId="0" xfId="0" applyNumberFormat="1" applyFont="1" applyAlignment="1">
      <alignment horizontal="right" vertical="center"/>
    </xf>
    <xf numFmtId="0" fontId="52" fillId="0" borderId="0" xfId="0" applyFont="1" applyAlignment="1">
      <alignment horizontal="right" vertical="center"/>
    </xf>
    <xf numFmtId="10" fontId="66" fillId="10" borderId="0" xfId="2" applyNumberFormat="1" applyFont="1" applyFill="1" applyBorder="1" applyAlignment="1">
      <alignment horizontal="right" vertical="center"/>
    </xf>
    <xf numFmtId="2" fontId="51" fillId="0" borderId="0" xfId="0" applyNumberFormat="1" applyFont="1" applyAlignment="1">
      <alignment horizontal="right" vertical="center"/>
    </xf>
    <xf numFmtId="4" fontId="51" fillId="0" borderId="0" xfId="0" applyNumberFormat="1" applyFont="1" applyAlignment="1">
      <alignment horizontal="right" vertical="center"/>
    </xf>
    <xf numFmtId="1" fontId="51" fillId="0" borderId="0" xfId="0" applyNumberFormat="1" applyFont="1" applyAlignment="1">
      <alignment horizontal="right" vertical="center"/>
    </xf>
    <xf numFmtId="168" fontId="52" fillId="0" borderId="0" xfId="0" applyNumberFormat="1" applyFont="1" applyAlignment="1">
      <alignment horizontal="right" vertical="center"/>
    </xf>
    <xf numFmtId="0" fontId="51" fillId="0" borderId="11" xfId="0" applyFont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51" fillId="0" borderId="5" xfId="0" applyFont="1" applyBorder="1" applyAlignment="1">
      <alignment vertical="center"/>
    </xf>
    <xf numFmtId="0" fontId="51" fillId="0" borderId="5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" fillId="6" borderId="0" xfId="0" applyFont="1" applyFill="1" applyAlignment="1">
      <alignment horizontal="left" vertical="center" wrapText="1"/>
    </xf>
    <xf numFmtId="0" fontId="67" fillId="6" borderId="0" xfId="0" applyFont="1" applyFill="1" applyAlignment="1">
      <alignment horizontal="center" vertical="center" wrapText="1"/>
    </xf>
    <xf numFmtId="0" fontId="67" fillId="6" borderId="0" xfId="0" applyFont="1" applyFill="1" applyAlignment="1">
      <alignment horizontal="left" vertical="center" wrapText="1"/>
    </xf>
    <xf numFmtId="0" fontId="69" fillId="6" borderId="0" xfId="0" applyFont="1" applyFill="1" applyAlignment="1">
      <alignment vertical="center" wrapText="1"/>
    </xf>
    <xf numFmtId="0" fontId="59" fillId="0" borderId="0" xfId="0" applyFont="1" applyAlignment="1">
      <alignment vertical="center" wrapText="1"/>
    </xf>
    <xf numFmtId="0" fontId="52" fillId="0" borderId="0" xfId="0" applyFont="1" applyAlignment="1">
      <alignment vertical="center" wrapText="1"/>
    </xf>
    <xf numFmtId="168" fontId="51" fillId="0" borderId="0" xfId="0" applyNumberFormat="1" applyFont="1" applyAlignment="1">
      <alignment horizontal="right" vertical="center"/>
    </xf>
    <xf numFmtId="0" fontId="63" fillId="0" borderId="0" xfId="0" applyFont="1" applyAlignment="1">
      <alignment vertical="center" wrapText="1"/>
    </xf>
    <xf numFmtId="168" fontId="53" fillId="0" borderId="0" xfId="0" applyNumberFormat="1" applyFont="1" applyAlignment="1">
      <alignment horizontal="right" vertical="center"/>
    </xf>
    <xf numFmtId="168" fontId="53" fillId="8" borderId="0" xfId="0" applyNumberFormat="1" applyFont="1" applyFill="1" applyAlignment="1">
      <alignment horizontal="right" vertical="center"/>
    </xf>
    <xf numFmtId="168" fontId="60" fillId="0" borderId="0" xfId="0" applyNumberFormat="1" applyFont="1" applyAlignment="1">
      <alignment horizontal="right" vertical="center"/>
    </xf>
    <xf numFmtId="4" fontId="52" fillId="0" borderId="0" xfId="0" applyNumberFormat="1" applyFont="1" applyAlignment="1">
      <alignment horizontal="right" vertical="center"/>
    </xf>
    <xf numFmtId="0" fontId="51" fillId="0" borderId="10" xfId="0" applyFont="1" applyBorder="1" applyAlignment="1">
      <alignment vertical="center"/>
    </xf>
    <xf numFmtId="168" fontId="4" fillId="0" borderId="15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4" fillId="0" borderId="9" xfId="0" applyNumberFormat="1" applyFont="1" applyBorder="1" applyAlignment="1">
      <alignment horizontal="right" vertical="center"/>
    </xf>
    <xf numFmtId="3" fontId="53" fillId="3" borderId="8" xfId="0" applyNumberFormat="1" applyFont="1" applyFill="1" applyBorder="1" applyAlignment="1">
      <alignment horizontal="right" vertical="center"/>
    </xf>
    <xf numFmtId="168" fontId="53" fillId="3" borderId="8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168" fontId="4" fillId="3" borderId="8" xfId="0" applyNumberFormat="1" applyFont="1" applyFill="1" applyBorder="1" applyAlignment="1">
      <alignment horizontal="right" vertical="center"/>
    </xf>
    <xf numFmtId="0" fontId="53" fillId="3" borderId="8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3" fillId="3" borderId="1" xfId="0" applyFont="1" applyFill="1" applyBorder="1" applyAlignment="1">
      <alignment horizontal="right" vertical="center"/>
    </xf>
    <xf numFmtId="168" fontId="53" fillId="3" borderId="1" xfId="0" applyNumberFormat="1" applyFont="1" applyFill="1" applyBorder="1" applyAlignment="1">
      <alignment horizontal="right" vertical="center"/>
    </xf>
    <xf numFmtId="0" fontId="53" fillId="9" borderId="8" xfId="0" applyFont="1" applyFill="1" applyBorder="1" applyAlignment="1">
      <alignment horizontal="right" vertical="center"/>
    </xf>
    <xf numFmtId="168" fontId="53" fillId="9" borderId="8" xfId="0" applyNumberFormat="1" applyFont="1" applyFill="1" applyBorder="1" applyAlignment="1">
      <alignment horizontal="right" vertical="center"/>
    </xf>
    <xf numFmtId="169" fontId="52" fillId="3" borderId="8" xfId="1" applyNumberFormat="1" applyFont="1" applyFill="1" applyBorder="1" applyAlignment="1">
      <alignment horizontal="right" vertical="center"/>
    </xf>
    <xf numFmtId="4" fontId="54" fillId="2" borderId="1" xfId="0" applyNumberFormat="1" applyFont="1" applyFill="1" applyBorder="1" applyAlignment="1">
      <alignment horizontal="right" vertical="center"/>
    </xf>
    <xf numFmtId="0" fontId="51" fillId="8" borderId="0" xfId="0" applyFont="1" applyFill="1" applyAlignment="1">
      <alignment vertical="center"/>
    </xf>
    <xf numFmtId="0" fontId="52" fillId="9" borderId="8" xfId="0" applyFont="1" applyFill="1" applyBorder="1" applyAlignment="1">
      <alignment vertical="center"/>
    </xf>
    <xf numFmtId="4" fontId="54" fillId="9" borderId="15" xfId="0" applyNumberFormat="1" applyFont="1" applyFill="1" applyBorder="1" applyAlignment="1">
      <alignment horizontal="right" vertical="center"/>
    </xf>
    <xf numFmtId="0" fontId="56" fillId="3" borderId="7" xfId="3" applyFont="1" applyFill="1" applyBorder="1" applyAlignment="1">
      <alignment horizontal="left" vertical="center"/>
    </xf>
    <xf numFmtId="181" fontId="51" fillId="0" borderId="0" xfId="0" applyNumberFormat="1" applyFont="1" applyAlignment="1">
      <alignment vertical="center"/>
    </xf>
    <xf numFmtId="2" fontId="51" fillId="0" borderId="0" xfId="0" applyNumberFormat="1" applyFont="1" applyAlignment="1">
      <alignment vertical="center"/>
    </xf>
    <xf numFmtId="3" fontId="52" fillId="3" borderId="1" xfId="1" applyNumberFormat="1" applyFont="1" applyFill="1" applyBorder="1" applyAlignment="1">
      <alignment horizontal="right" vertical="center"/>
    </xf>
    <xf numFmtId="3" fontId="52" fillId="9" borderId="8" xfId="1" applyNumberFormat="1" applyFont="1" applyFill="1" applyBorder="1" applyAlignment="1">
      <alignment horizontal="right" vertical="center"/>
    </xf>
    <xf numFmtId="2" fontId="71" fillId="3" borderId="8" xfId="0" applyNumberFormat="1" applyFont="1" applyFill="1" applyBorder="1" applyAlignment="1">
      <alignment horizontal="right" vertical="center"/>
    </xf>
    <xf numFmtId="2" fontId="71" fillId="0" borderId="8" xfId="0" applyNumberFormat="1" applyFont="1" applyBorder="1" applyAlignment="1">
      <alignment horizontal="right" vertical="center"/>
    </xf>
    <xf numFmtId="0" fontId="47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5" fontId="21" fillId="0" borderId="2" xfId="0" applyNumberFormat="1" applyFont="1" applyBorder="1" applyAlignment="1">
      <alignment horizontal="center" vertical="center" wrapText="1"/>
    </xf>
    <xf numFmtId="165" fontId="21" fillId="0" borderId="3" xfId="0" applyNumberFormat="1" applyFont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165" fontId="21" fillId="0" borderId="11" xfId="0" applyNumberFormat="1" applyFont="1" applyBorder="1" applyAlignment="1">
      <alignment horizontal="center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165" fontId="21" fillId="0" borderId="13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3" fillId="0" borderId="0" xfId="12" applyFont="1" applyAlignment="1">
      <alignment horizontal="center" vertical="top" wrapText="1"/>
    </xf>
    <xf numFmtId="0" fontId="13" fillId="11" borderId="8" xfId="12" applyFont="1" applyFill="1" applyBorder="1" applyAlignment="1">
      <alignment horizontal="center" vertical="center" wrapText="1"/>
    </xf>
    <xf numFmtId="0" fontId="13" fillId="11" borderId="1" xfId="12" applyFont="1" applyFill="1" applyBorder="1" applyAlignment="1">
      <alignment horizontal="center" vertical="center" wrapText="1"/>
    </xf>
    <xf numFmtId="0" fontId="13" fillId="11" borderId="15" xfId="12" applyFont="1" applyFill="1" applyBorder="1" applyAlignment="1">
      <alignment horizontal="center" vertical="center" wrapText="1"/>
    </xf>
    <xf numFmtId="41" fontId="13" fillId="11" borderId="8" xfId="1" applyFont="1" applyFill="1" applyBorder="1" applyAlignment="1">
      <alignment horizontal="center" vertical="center" wrapText="1"/>
    </xf>
    <xf numFmtId="41" fontId="13" fillId="11" borderId="7" xfId="1" applyFont="1" applyFill="1" applyBorder="1" applyAlignment="1">
      <alignment horizontal="center" vertical="center" wrapText="1"/>
    </xf>
    <xf numFmtId="0" fontId="40" fillId="12" borderId="8" xfId="12" applyFont="1" applyFill="1" applyBorder="1" applyAlignment="1">
      <alignment horizontal="center" vertical="top" wrapText="1"/>
    </xf>
    <xf numFmtId="41" fontId="13" fillId="11" borderId="1" xfId="1" applyFont="1" applyFill="1" applyBorder="1" applyAlignment="1">
      <alignment horizontal="center" vertical="center" wrapText="1"/>
    </xf>
    <xf numFmtId="41" fontId="13" fillId="11" borderId="15" xfId="1" applyFont="1" applyFill="1" applyBorder="1" applyAlignment="1">
      <alignment horizontal="center" vertical="center" wrapText="1"/>
    </xf>
    <xf numFmtId="0" fontId="13" fillId="11" borderId="5" xfId="12" applyFont="1" applyFill="1" applyBorder="1" applyAlignment="1">
      <alignment horizontal="center" vertical="center" wrapText="1"/>
    </xf>
    <xf numFmtId="0" fontId="13" fillId="11" borderId="6" xfId="12" applyFont="1" applyFill="1" applyBorder="1" applyAlignment="1">
      <alignment horizontal="center" vertical="center" wrapText="1"/>
    </xf>
    <xf numFmtId="0" fontId="13" fillId="11" borderId="7" xfId="12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67" fillId="6" borderId="0" xfId="0" applyFont="1" applyFill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0" fontId="53" fillId="0" borderId="13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165" fontId="52" fillId="0" borderId="2" xfId="0" applyNumberFormat="1" applyFont="1" applyBorder="1" applyAlignment="1">
      <alignment horizontal="center" vertical="center" wrapText="1"/>
    </xf>
    <xf numFmtId="165" fontId="52" fillId="0" borderId="3" xfId="0" applyNumberFormat="1" applyFont="1" applyBorder="1" applyAlignment="1">
      <alignment horizontal="center" vertical="center" wrapText="1"/>
    </xf>
    <xf numFmtId="165" fontId="52" fillId="0" borderId="10" xfId="0" applyNumberFormat="1" applyFont="1" applyBorder="1" applyAlignment="1">
      <alignment horizontal="center" vertical="center" wrapText="1"/>
    </xf>
    <xf numFmtId="165" fontId="52" fillId="0" borderId="11" xfId="0" applyNumberFormat="1" applyFont="1" applyBorder="1" applyAlignment="1">
      <alignment horizontal="center" vertical="center" wrapText="1"/>
    </xf>
    <xf numFmtId="165" fontId="52" fillId="0" borderId="12" xfId="0" applyNumberFormat="1" applyFont="1" applyBorder="1" applyAlignment="1">
      <alignment horizontal="center" vertical="center" wrapText="1"/>
    </xf>
    <xf numFmtId="165" fontId="52" fillId="0" borderId="13" xfId="0" applyNumberFormat="1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left" vertical="center" wrapText="1"/>
    </xf>
    <xf numFmtId="0" fontId="52" fillId="0" borderId="6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68" fillId="6" borderId="0" xfId="0" applyFont="1" applyFill="1" applyAlignment="1">
      <alignment horizontal="center" vertical="center" wrapText="1"/>
    </xf>
  </cellXfs>
  <cellStyles count="19">
    <cellStyle name="Comma [0]" xfId="1" builtinId="6"/>
    <cellStyle name="Comma [0] 2" xfId="4" xr:uid="{00000000-0005-0000-0000-000001000000}"/>
    <cellStyle name="Comma [0] 3" xfId="14" xr:uid="{00000000-0005-0000-0000-000002000000}"/>
    <cellStyle name="Comma 2" xfId="5" xr:uid="{00000000-0005-0000-0000-000003000000}"/>
    <cellStyle name="Comma 3" xfId="13" xr:uid="{00000000-0005-0000-0000-000004000000}"/>
    <cellStyle name="Currency [0] 2" xfId="16" xr:uid="{00000000-0005-0000-0000-000005000000}"/>
    <cellStyle name="Currency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7" xr:uid="{00000000-0005-0000-0000-00000A000000}"/>
    <cellStyle name="Normal 3" xfId="9" xr:uid="{00000000-0005-0000-0000-00000B000000}"/>
    <cellStyle name="Normal 4" xfId="3" xr:uid="{00000000-0005-0000-0000-00000C000000}"/>
    <cellStyle name="Normal 4 2" xfId="18" xr:uid="{00000000-0005-0000-0000-00000D000000}"/>
    <cellStyle name="Normal 5" xfId="12" xr:uid="{00000000-0005-0000-0000-00000E000000}"/>
    <cellStyle name="Normal 7" xfId="15" xr:uid="{00000000-0005-0000-0000-00000F000000}"/>
    <cellStyle name="Percent" xfId="2" builtinId="5"/>
    <cellStyle name="S5" xfId="10" xr:uid="{00000000-0005-0000-0000-000011000000}"/>
    <cellStyle name="S8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YU\LAPORAN%20KEUANGAN%20DINSOS\2021\RKPD\EVALUASI%20RKPD%202021_TW4-fi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YU\LAPORAN%20KEUANGAN%20DINSOS\2022\RKPD\EVALUASI%20RKPD%202022_KI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SI%20RKPD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21/RKPD/EVALUASI%20RKPD%202021_TW4-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2021"/>
      <sheetName val="RIIL TW IV PERBAIKAN"/>
      <sheetName val="(Sblm) REVISI RKPD 2021"/>
      <sheetName val="REVISI RKPD 2021 - TW I"/>
      <sheetName val="TW II"/>
      <sheetName val="TW III"/>
      <sheetName val="TW IV"/>
      <sheetName val="PREDIKSI TW IV"/>
      <sheetName val="TW IV FIX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AC9">
            <v>83756.88</v>
          </cell>
        </row>
        <row r="13">
          <cell r="AC13">
            <v>3024869.0240000002</v>
          </cell>
        </row>
        <row r="16">
          <cell r="AB16">
            <v>92.583333333333329</v>
          </cell>
          <cell r="AC16">
            <v>149815</v>
          </cell>
        </row>
        <row r="21">
          <cell r="AB21">
            <v>100</v>
          </cell>
          <cell r="AC21">
            <v>6301918.3399999999</v>
          </cell>
        </row>
        <row r="31">
          <cell r="AC31">
            <v>2407742.9380000001</v>
          </cell>
        </row>
        <row r="40">
          <cell r="AB40">
            <v>100</v>
          </cell>
          <cell r="AC40">
            <v>3401014.8</v>
          </cell>
        </row>
        <row r="41">
          <cell r="AC41">
            <v>283281.7</v>
          </cell>
        </row>
        <row r="42">
          <cell r="AB42">
            <v>1.5940000000000001</v>
          </cell>
          <cell r="AC42">
            <v>1842129.5</v>
          </cell>
        </row>
        <row r="62">
          <cell r="AB62">
            <v>63.45</v>
          </cell>
          <cell r="AC62">
            <v>5899469.1420000009</v>
          </cell>
        </row>
        <row r="63">
          <cell r="AB63">
            <v>3.4299999999999997</v>
          </cell>
          <cell r="AC63">
            <v>636754.54999999993</v>
          </cell>
        </row>
        <row r="64">
          <cell r="AB64">
            <v>57.78</v>
          </cell>
          <cell r="AC64">
            <v>194666.25</v>
          </cell>
        </row>
        <row r="92">
          <cell r="AB92">
            <v>1.06</v>
          </cell>
          <cell r="AC92">
            <v>536078.35</v>
          </cell>
        </row>
        <row r="97">
          <cell r="AB97">
            <v>0.39</v>
          </cell>
          <cell r="AC97">
            <v>1808914</v>
          </cell>
        </row>
        <row r="101">
          <cell r="AC101">
            <v>1738459.8659999999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2021"/>
      <sheetName val="RIIL TW IV PERBAIKAN"/>
      <sheetName val="(Sblm) REVISI RKPD 2021"/>
      <sheetName val="TW IV"/>
      <sheetName val="TW I"/>
      <sheetName val="TW II"/>
      <sheetName val="TW III"/>
      <sheetName val="Sheet2"/>
    </sheetNames>
    <sheetDataSet>
      <sheetData sheetId="0" refreshError="1"/>
      <sheetData sheetId="1">
        <row r="12">
          <cell r="J12">
            <v>3709282.2290000003</v>
          </cell>
          <cell r="Y12">
            <v>1272395.0649999999</v>
          </cell>
        </row>
        <row r="20">
          <cell r="J20">
            <v>1076320.5669999998</v>
          </cell>
          <cell r="Y20">
            <v>246285.989</v>
          </cell>
        </row>
        <row r="26">
          <cell r="J26">
            <v>77315</v>
          </cell>
          <cell r="Y26">
            <v>0</v>
          </cell>
        </row>
        <row r="28">
          <cell r="J28">
            <v>47500</v>
          </cell>
          <cell r="Y28">
            <v>0</v>
          </cell>
        </row>
        <row r="64">
          <cell r="J64">
            <v>9892.2999999999993</v>
          </cell>
          <cell r="Y64">
            <v>36280.630000000005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2021"/>
      <sheetName val="RIIL TW IV PERBAIKAN"/>
      <sheetName val="(Sblm) REVISI RKPD 2021"/>
      <sheetName val="TW IV"/>
      <sheetName val="TW I"/>
      <sheetName val="coret2"/>
      <sheetName val="indikator 2023"/>
      <sheetName val="Sheet1"/>
      <sheetName val="Sheet2"/>
    </sheetNames>
    <sheetDataSet>
      <sheetData sheetId="0"/>
      <sheetData sheetId="1">
        <row r="12">
          <cell r="J12">
            <v>3709282.2290000003</v>
          </cell>
          <cell r="Y12">
            <v>1272395.0649999999</v>
          </cell>
        </row>
        <row r="20">
          <cell r="J20">
            <v>1076320.5669999998</v>
          </cell>
          <cell r="Y20">
            <v>246285.989</v>
          </cell>
        </row>
        <row r="26">
          <cell r="J26">
            <v>77315</v>
          </cell>
          <cell r="Y26">
            <v>0</v>
          </cell>
        </row>
        <row r="28">
          <cell r="J28">
            <v>47500</v>
          </cell>
          <cell r="Y28">
            <v>0</v>
          </cell>
        </row>
        <row r="64">
          <cell r="J64">
            <v>9892.2999999999993</v>
          </cell>
          <cell r="Y64">
            <v>36280.630000000005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2021"/>
      <sheetName val="RIIL TW IV PERBAIKAN"/>
      <sheetName val="(Sblm) REVISI RKPD 2021"/>
      <sheetName val="REVISI RKPD 2021 - TW I"/>
      <sheetName val="TW II"/>
      <sheetName val="TW III"/>
      <sheetName val="TW IV"/>
      <sheetName val="PREDIKSI TW IV"/>
      <sheetName val="TW IV FIX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0">
          <cell r="AB40">
            <v>100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AO159"/>
  <sheetViews>
    <sheetView showGridLines="0" topLeftCell="E3" zoomScaleNormal="100" zoomScaleSheetLayoutView="59" workbookViewId="0">
      <selection sqref="A1:AF1"/>
    </sheetView>
  </sheetViews>
  <sheetFormatPr defaultColWidth="9.140625" defaultRowHeight="15" x14ac:dyDescent="0.25"/>
  <cols>
    <col min="1" max="1" width="6.42578125" style="439" customWidth="1"/>
    <col min="2" max="2" width="22" style="34" customWidth="1"/>
    <col min="3" max="3" width="35.28515625" style="438" hidden="1" customWidth="1"/>
    <col min="4" max="4" width="33.5703125" style="467" customWidth="1"/>
    <col min="5" max="5" width="30.7109375" style="34" customWidth="1"/>
    <col min="6" max="6" width="11.7109375" style="439" customWidth="1"/>
    <col min="7" max="7" width="9.140625" style="334" customWidth="1"/>
    <col min="8" max="8" width="19.7109375" style="443" customWidth="1"/>
    <col min="9" max="9" width="9.140625" style="334" customWidth="1"/>
    <col min="10" max="10" width="19" style="443" customWidth="1"/>
    <col min="11" max="11" width="9.5703125" style="334" customWidth="1"/>
    <col min="12" max="12" width="19.5703125" style="448" customWidth="1"/>
    <col min="13" max="13" width="9.140625" style="334" customWidth="1"/>
    <col min="14" max="14" width="17.5703125" style="448" customWidth="1"/>
    <col min="15" max="15" width="19.140625" style="448" customWidth="1"/>
    <col min="16" max="16" width="8.42578125" style="334" customWidth="1"/>
    <col min="17" max="17" width="15.140625" style="443" customWidth="1"/>
    <col min="18" max="18" width="10" style="334" customWidth="1"/>
    <col min="19" max="19" width="17.5703125" style="443" customWidth="1"/>
    <col min="20" max="20" width="9.140625" style="334" customWidth="1"/>
    <col min="21" max="21" width="16.85546875" style="443" customWidth="1"/>
    <col min="22" max="22" width="9.140625" style="334" customWidth="1"/>
    <col min="23" max="23" width="15.42578125" style="443" customWidth="1"/>
    <col min="24" max="24" width="11.42578125" style="334" customWidth="1"/>
    <col min="25" max="25" width="17.5703125" style="443" customWidth="1"/>
    <col min="26" max="26" width="10.140625" style="334" customWidth="1"/>
    <col min="27" max="27" width="11.28515625" style="443" customWidth="1"/>
    <col min="28" max="28" width="10" style="334" customWidth="1"/>
    <col min="29" max="29" width="18.28515625" style="443" customWidth="1"/>
    <col min="30" max="30" width="10.7109375" style="334" customWidth="1"/>
    <col min="31" max="31" width="9" style="443" customWidth="1"/>
    <col min="32" max="32" width="14.42578125" style="439" customWidth="1"/>
    <col min="33" max="33" width="11.28515625" style="34" customWidth="1"/>
    <col min="34" max="35" width="14.7109375" style="34" hidden="1" customWidth="1"/>
    <col min="36" max="36" width="15.28515625" style="34" hidden="1" customWidth="1"/>
    <col min="37" max="38" width="14.7109375" style="34" hidden="1" customWidth="1"/>
    <col min="39" max="39" width="0" style="34" hidden="1" customWidth="1"/>
    <col min="40" max="40" width="7.7109375" style="34" customWidth="1"/>
    <col min="41" max="16384" width="9.140625" style="34"/>
  </cols>
  <sheetData>
    <row r="1" spans="1:39" ht="18" x14ac:dyDescent="0.25">
      <c r="A1" s="975" t="s">
        <v>214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</row>
    <row r="2" spans="1:39" ht="18" x14ac:dyDescent="0.25">
      <c r="A2" s="975" t="s">
        <v>367</v>
      </c>
      <c r="B2" s="975"/>
      <c r="C2" s="975"/>
      <c r="D2" s="975"/>
      <c r="E2" s="975"/>
      <c r="F2" s="975"/>
      <c r="G2" s="975"/>
      <c r="H2" s="975"/>
      <c r="I2" s="975"/>
      <c r="J2" s="975"/>
      <c r="K2" s="975"/>
      <c r="L2" s="975"/>
      <c r="M2" s="975"/>
      <c r="N2" s="975"/>
      <c r="O2" s="975"/>
      <c r="P2" s="975"/>
      <c r="Q2" s="975"/>
      <c r="R2" s="975"/>
      <c r="S2" s="975"/>
      <c r="T2" s="975"/>
      <c r="U2" s="975"/>
      <c r="V2" s="975"/>
      <c r="W2" s="975"/>
      <c r="X2" s="975"/>
      <c r="Y2" s="975"/>
      <c r="Z2" s="975"/>
      <c r="AA2" s="975"/>
      <c r="AB2" s="975"/>
      <c r="AC2" s="975"/>
      <c r="AD2" s="975"/>
      <c r="AE2" s="975"/>
      <c r="AF2" s="975"/>
    </row>
    <row r="3" spans="1:39" ht="18" x14ac:dyDescent="0.25">
      <c r="A3" s="614" t="s">
        <v>229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9" s="35" customFormat="1" ht="22.5" customHeight="1" x14ac:dyDescent="0.25">
      <c r="A4" s="976" t="s">
        <v>0</v>
      </c>
      <c r="B4" s="976" t="s">
        <v>126</v>
      </c>
      <c r="C4" s="976" t="s">
        <v>230</v>
      </c>
      <c r="D4" s="976" t="s">
        <v>231</v>
      </c>
      <c r="E4" s="976" t="s">
        <v>1</v>
      </c>
      <c r="F4" s="976" t="s">
        <v>2</v>
      </c>
      <c r="G4" s="979" t="s">
        <v>232</v>
      </c>
      <c r="H4" s="980"/>
      <c r="I4" s="965" t="s">
        <v>233</v>
      </c>
      <c r="J4" s="966"/>
      <c r="K4" s="965" t="s">
        <v>234</v>
      </c>
      <c r="L4" s="987"/>
      <c r="M4" s="987"/>
      <c r="N4" s="987"/>
      <c r="O4" s="966"/>
      <c r="P4" s="990" t="s">
        <v>3</v>
      </c>
      <c r="Q4" s="991"/>
      <c r="R4" s="991"/>
      <c r="S4" s="991"/>
      <c r="T4" s="991"/>
      <c r="U4" s="991"/>
      <c r="V4" s="991"/>
      <c r="W4" s="992"/>
      <c r="X4" s="965" t="s">
        <v>227</v>
      </c>
      <c r="Y4" s="966"/>
      <c r="Z4" s="965" t="s">
        <v>228</v>
      </c>
      <c r="AA4" s="966"/>
      <c r="AB4" s="965" t="s">
        <v>235</v>
      </c>
      <c r="AC4" s="966"/>
      <c r="AD4" s="973" t="s">
        <v>236</v>
      </c>
      <c r="AE4" s="973"/>
      <c r="AF4" s="993" t="s">
        <v>4</v>
      </c>
    </row>
    <row r="5" spans="1:39" s="35" customFormat="1" ht="12.75" x14ac:dyDescent="0.25">
      <c r="A5" s="977"/>
      <c r="B5" s="977"/>
      <c r="C5" s="977"/>
      <c r="D5" s="977"/>
      <c r="E5" s="977"/>
      <c r="F5" s="977"/>
      <c r="G5" s="981"/>
      <c r="H5" s="982"/>
      <c r="I5" s="985"/>
      <c r="J5" s="986"/>
      <c r="K5" s="985"/>
      <c r="L5" s="988"/>
      <c r="M5" s="988"/>
      <c r="N5" s="988"/>
      <c r="O5" s="986"/>
      <c r="P5" s="965" t="s">
        <v>5</v>
      </c>
      <c r="Q5" s="966"/>
      <c r="R5" s="965" t="s">
        <v>6</v>
      </c>
      <c r="S5" s="966"/>
      <c r="T5" s="965" t="s">
        <v>7</v>
      </c>
      <c r="U5" s="966"/>
      <c r="V5" s="969" t="s">
        <v>8</v>
      </c>
      <c r="W5" s="970"/>
      <c r="X5" s="985"/>
      <c r="Y5" s="986"/>
      <c r="Z5" s="985"/>
      <c r="AA5" s="986"/>
      <c r="AB5" s="985"/>
      <c r="AC5" s="986"/>
      <c r="AD5" s="973"/>
      <c r="AE5" s="973"/>
      <c r="AF5" s="993"/>
    </row>
    <row r="6" spans="1:39" s="35" customFormat="1" ht="58.5" customHeight="1" x14ac:dyDescent="0.25">
      <c r="A6" s="977"/>
      <c r="B6" s="977"/>
      <c r="C6" s="977"/>
      <c r="D6" s="977"/>
      <c r="E6" s="977"/>
      <c r="F6" s="977"/>
      <c r="G6" s="983"/>
      <c r="H6" s="984"/>
      <c r="I6" s="967"/>
      <c r="J6" s="968"/>
      <c r="K6" s="967"/>
      <c r="L6" s="989"/>
      <c r="M6" s="989"/>
      <c r="N6" s="989"/>
      <c r="O6" s="968"/>
      <c r="P6" s="967"/>
      <c r="Q6" s="968"/>
      <c r="R6" s="967"/>
      <c r="S6" s="968"/>
      <c r="T6" s="967"/>
      <c r="U6" s="968"/>
      <c r="V6" s="971"/>
      <c r="W6" s="972"/>
      <c r="X6" s="967"/>
      <c r="Y6" s="968"/>
      <c r="Z6" s="967"/>
      <c r="AA6" s="968"/>
      <c r="AB6" s="967"/>
      <c r="AC6" s="968"/>
      <c r="AD6" s="973"/>
      <c r="AE6" s="973"/>
      <c r="AF6" s="993"/>
    </row>
    <row r="7" spans="1:39" s="35" customFormat="1" ht="39" customHeight="1" x14ac:dyDescent="0.25">
      <c r="A7" s="978"/>
      <c r="B7" s="978"/>
      <c r="C7" s="978"/>
      <c r="D7" s="978"/>
      <c r="E7" s="978"/>
      <c r="F7" s="978"/>
      <c r="G7" s="36" t="s">
        <v>9</v>
      </c>
      <c r="H7" s="37" t="s">
        <v>237</v>
      </c>
      <c r="I7" s="36" t="s">
        <v>9</v>
      </c>
      <c r="J7" s="37" t="s">
        <v>237</v>
      </c>
      <c r="K7" s="36" t="s">
        <v>9</v>
      </c>
      <c r="L7" s="38" t="s">
        <v>238</v>
      </c>
      <c r="M7" s="36" t="s">
        <v>9</v>
      </c>
      <c r="N7" s="38" t="s">
        <v>11</v>
      </c>
      <c r="O7" s="38" t="s">
        <v>239</v>
      </c>
      <c r="P7" s="36" t="s">
        <v>9</v>
      </c>
      <c r="Q7" s="37" t="s">
        <v>10</v>
      </c>
      <c r="R7" s="36" t="s">
        <v>9</v>
      </c>
      <c r="S7" s="37" t="s">
        <v>10</v>
      </c>
      <c r="T7" s="36" t="s">
        <v>9</v>
      </c>
      <c r="U7" s="37" t="s">
        <v>10</v>
      </c>
      <c r="V7" s="39" t="s">
        <v>9</v>
      </c>
      <c r="W7" s="40" t="s">
        <v>10</v>
      </c>
      <c r="X7" s="36" t="s">
        <v>9</v>
      </c>
      <c r="Y7" s="37" t="s">
        <v>10</v>
      </c>
      <c r="Z7" s="41" t="s">
        <v>9</v>
      </c>
      <c r="AA7" s="37" t="s">
        <v>10</v>
      </c>
      <c r="AB7" s="36" t="s">
        <v>9</v>
      </c>
      <c r="AC7" s="37" t="s">
        <v>10</v>
      </c>
      <c r="AD7" s="36" t="s">
        <v>9</v>
      </c>
      <c r="AE7" s="37" t="s">
        <v>10</v>
      </c>
      <c r="AF7" s="993"/>
      <c r="AL7" s="42" t="e">
        <f>#REF!</f>
        <v>#REF!</v>
      </c>
    </row>
    <row r="8" spans="1:39" s="49" customFormat="1" ht="12.75" x14ac:dyDescent="0.25">
      <c r="A8" s="43">
        <v>1</v>
      </c>
      <c r="B8" s="43">
        <v>2</v>
      </c>
      <c r="C8" s="44">
        <v>3</v>
      </c>
      <c r="D8" s="45">
        <v>3</v>
      </c>
      <c r="E8" s="45">
        <v>4</v>
      </c>
      <c r="F8" s="46">
        <v>5</v>
      </c>
      <c r="G8" s="956">
        <v>6</v>
      </c>
      <c r="H8" s="957"/>
      <c r="I8" s="956">
        <v>7</v>
      </c>
      <c r="J8" s="957"/>
      <c r="K8" s="956">
        <v>8</v>
      </c>
      <c r="L8" s="974"/>
      <c r="M8" s="974"/>
      <c r="N8" s="957"/>
      <c r="O8" s="47"/>
      <c r="P8" s="956">
        <v>9</v>
      </c>
      <c r="Q8" s="957"/>
      <c r="R8" s="956">
        <v>10</v>
      </c>
      <c r="S8" s="957"/>
      <c r="T8" s="956">
        <v>11</v>
      </c>
      <c r="U8" s="957"/>
      <c r="V8" s="958">
        <v>12</v>
      </c>
      <c r="W8" s="959"/>
      <c r="X8" s="956" t="s">
        <v>361</v>
      </c>
      <c r="Y8" s="957"/>
      <c r="Z8" s="956" t="s">
        <v>362</v>
      </c>
      <c r="AA8" s="957"/>
      <c r="AB8" s="956" t="s">
        <v>240</v>
      </c>
      <c r="AC8" s="957"/>
      <c r="AD8" s="960" t="s">
        <v>12</v>
      </c>
      <c r="AE8" s="960"/>
      <c r="AF8" s="48">
        <v>18</v>
      </c>
      <c r="AH8" s="49">
        <v>2017</v>
      </c>
      <c r="AI8" s="49">
        <v>2018</v>
      </c>
      <c r="AJ8" s="49">
        <v>2019</v>
      </c>
      <c r="AK8" s="49">
        <v>2020</v>
      </c>
    </row>
    <row r="9" spans="1:39" s="72" customFormat="1" ht="55.5" hidden="1" customHeight="1" x14ac:dyDescent="0.25">
      <c r="A9" s="50" t="s">
        <v>5</v>
      </c>
      <c r="B9" s="51" t="s">
        <v>241</v>
      </c>
      <c r="C9" s="52" t="s">
        <v>242</v>
      </c>
      <c r="D9" s="53" t="s">
        <v>13</v>
      </c>
      <c r="E9" s="54" t="s">
        <v>14</v>
      </c>
      <c r="F9" s="55" t="s">
        <v>15</v>
      </c>
      <c r="G9" s="56">
        <v>100</v>
      </c>
      <c r="H9" s="57">
        <f>H11+H13</f>
        <v>185000</v>
      </c>
      <c r="I9" s="58">
        <v>100</v>
      </c>
      <c r="J9" s="57">
        <f>'[1]TW IV FIX'!$AC$9</f>
        <v>83756.88</v>
      </c>
      <c r="K9" s="56">
        <v>100</v>
      </c>
      <c r="L9" s="57">
        <f>L10</f>
        <v>40000</v>
      </c>
      <c r="M9" s="59">
        <v>100</v>
      </c>
      <c r="N9" s="57">
        <f>N10</f>
        <v>36587.5</v>
      </c>
      <c r="O9" s="57">
        <f>O11+O13</f>
        <v>36587.5</v>
      </c>
      <c r="P9" s="58">
        <v>25</v>
      </c>
      <c r="Q9" s="57">
        <f>+Q10</f>
        <v>3429.5</v>
      </c>
      <c r="R9" s="61">
        <v>25</v>
      </c>
      <c r="S9" s="62">
        <f>S10</f>
        <v>0</v>
      </c>
      <c r="T9" s="63"/>
      <c r="U9" s="64"/>
      <c r="V9" s="65"/>
      <c r="W9" s="64"/>
      <c r="X9" s="58">
        <f>P9+R9+T9+V9</f>
        <v>50</v>
      </c>
      <c r="Y9" s="57">
        <f>Q9+S9+U9+W9</f>
        <v>3429.5</v>
      </c>
      <c r="Z9" s="66">
        <f>X9/M9*100</f>
        <v>50</v>
      </c>
      <c r="AA9" s="60">
        <f>Y9/N9*100</f>
        <v>9.3734198838401088</v>
      </c>
      <c r="AB9" s="66">
        <v>100</v>
      </c>
      <c r="AC9" s="57">
        <f>J9+Y9</f>
        <v>87186.38</v>
      </c>
      <c r="AD9" s="615">
        <f>AB9/G9*100</f>
        <v>100</v>
      </c>
      <c r="AE9" s="616">
        <f>AC9/H9*100</f>
        <v>47.127772972972977</v>
      </c>
      <c r="AF9" s="50" t="s">
        <v>16</v>
      </c>
      <c r="AH9" s="73">
        <f ca="1">SUM(AH9:AH17)</f>
        <v>1175847</v>
      </c>
      <c r="AI9" s="73">
        <f ca="1">SUM(AI9:AI17)</f>
        <v>1943313</v>
      </c>
      <c r="AJ9" s="73">
        <f ca="1">SUM(AJ9:AJ17)</f>
        <v>1733039.3</v>
      </c>
      <c r="AK9" s="73">
        <f ca="1">SUM(AK9:AK17)</f>
        <v>1554961.6839999999</v>
      </c>
      <c r="AL9" s="73">
        <f ca="1">SUM(AH9:AK9)</f>
        <v>6407160.9839999992</v>
      </c>
      <c r="AM9" s="74">
        <f ca="1">AL9-AL7</f>
        <v>-77318</v>
      </c>
    </row>
    <row r="10" spans="1:39" ht="73.5" hidden="1" customHeight="1" x14ac:dyDescent="0.25">
      <c r="A10" s="75"/>
      <c r="B10" s="76" t="s">
        <v>243</v>
      </c>
      <c r="C10" s="77"/>
      <c r="D10" s="78" t="s">
        <v>17</v>
      </c>
      <c r="E10" s="79" t="s">
        <v>244</v>
      </c>
      <c r="F10" s="80" t="s">
        <v>245</v>
      </c>
      <c r="G10" s="81"/>
      <c r="H10" s="82"/>
      <c r="I10" s="83"/>
      <c r="J10" s="82"/>
      <c r="K10" s="84">
        <f>SUM(K11:K13)</f>
        <v>4</v>
      </c>
      <c r="L10" s="85">
        <f t="shared" ref="L10:Z10" si="0">SUM(L11:L13)</f>
        <v>40000</v>
      </c>
      <c r="M10" s="86">
        <f t="shared" si="0"/>
        <v>4</v>
      </c>
      <c r="N10" s="85">
        <f t="shared" si="0"/>
        <v>36587.5</v>
      </c>
      <c r="O10" s="85">
        <f t="shared" si="0"/>
        <v>36587.5</v>
      </c>
      <c r="P10" s="84">
        <v>1</v>
      </c>
      <c r="Q10" s="85">
        <f>SUM(Q11:Q13)</f>
        <v>3429.5</v>
      </c>
      <c r="R10" s="84">
        <v>2</v>
      </c>
      <c r="S10" s="85">
        <f>SUM(S11:S13)</f>
        <v>0</v>
      </c>
      <c r="T10" s="84"/>
      <c r="U10" s="88"/>
      <c r="V10" s="88"/>
      <c r="W10" s="88"/>
      <c r="X10" s="84">
        <f t="shared" si="0"/>
        <v>2</v>
      </c>
      <c r="Y10" s="85">
        <f t="shared" si="0"/>
        <v>3429.5</v>
      </c>
      <c r="Z10" s="84">
        <f t="shared" si="0"/>
        <v>100</v>
      </c>
      <c r="AA10" s="89">
        <f>Y10/N10*100</f>
        <v>9.3734198838401088</v>
      </c>
      <c r="AB10" s="84"/>
      <c r="AC10" s="90"/>
      <c r="AD10" s="84"/>
      <c r="AE10" s="84"/>
      <c r="AF10" s="84"/>
      <c r="AK10" s="91">
        <f>+'[2]RIIL TW IV PERBAIKAN'!J12+'[2]RIIL TW IV PERBAIKAN'!J20+'[2]RIIL TW IV PERBAIKAN'!J26+'[2]RIIL TW IV PERBAIKAN'!J28+'[2]RIIL TW IV PERBAIKAN'!J64+'[2]RIIL TW IV PERBAIKAN'!Y12+'[2]RIIL TW IV PERBAIKAN'!Y20+'[2]RIIL TW IV PERBAIKAN'!Y26+'[2]RIIL TW IV PERBAIKAN'!Y28+'[2]RIIL TW IV PERBAIKAN'!Y64</f>
        <v>6475271.7800000003</v>
      </c>
      <c r="AL10" s="92">
        <v>6475271.7800000003</v>
      </c>
    </row>
    <row r="11" spans="1:39" ht="46.5" hidden="1" customHeight="1" x14ac:dyDescent="0.25">
      <c r="A11" s="93">
        <v>1</v>
      </c>
      <c r="B11" s="94" t="s">
        <v>184</v>
      </c>
      <c r="C11" s="95" t="s">
        <v>246</v>
      </c>
      <c r="D11" s="96" t="s">
        <v>18</v>
      </c>
      <c r="E11" s="97" t="s">
        <v>247</v>
      </c>
      <c r="F11" s="98" t="s">
        <v>19</v>
      </c>
      <c r="G11" s="99">
        <v>1</v>
      </c>
      <c r="H11" s="100">
        <f>15000+45000+50000+15000</f>
        <v>125000</v>
      </c>
      <c r="I11" s="99">
        <f>3+2+3</f>
        <v>8</v>
      </c>
      <c r="J11" s="100">
        <f>0+14999+9892.3+14114.14+10517.15</f>
        <v>49522.590000000004</v>
      </c>
      <c r="K11" s="101">
        <v>3</v>
      </c>
      <c r="L11" s="102">
        <v>25000</v>
      </c>
      <c r="M11" s="168">
        <v>1</v>
      </c>
      <c r="N11" s="295">
        <f>438.1+849+4000+3850</f>
        <v>9137.1</v>
      </c>
      <c r="O11" s="318">
        <v>22437.5</v>
      </c>
      <c r="P11" s="101">
        <v>1</v>
      </c>
      <c r="Q11" s="104">
        <v>2431.5</v>
      </c>
      <c r="R11" s="105">
        <v>0</v>
      </c>
      <c r="S11" s="102">
        <v>0</v>
      </c>
      <c r="T11" s="101"/>
      <c r="U11" s="107"/>
      <c r="V11" s="101"/>
      <c r="W11" s="107"/>
      <c r="X11" s="395">
        <f t="shared" ref="X11:Y71" si="1">P11+R11+T11+V11</f>
        <v>1</v>
      </c>
      <c r="Y11" s="104">
        <f t="shared" si="1"/>
        <v>2431.5</v>
      </c>
      <c r="Z11" s="199">
        <f>X11/M11*100</f>
        <v>100</v>
      </c>
      <c r="AA11" s="109">
        <f>Y11/N11*100</f>
        <v>26.61128804544111</v>
      </c>
      <c r="AB11" s="110">
        <f>I11+X11</f>
        <v>9</v>
      </c>
      <c r="AC11" s="100">
        <f>Y11+J11</f>
        <v>51954.090000000004</v>
      </c>
      <c r="AD11" s="111">
        <f>AB11/G11*100</f>
        <v>900</v>
      </c>
      <c r="AE11" s="112">
        <f>AC11/H11*100</f>
        <v>41.563271999999998</v>
      </c>
      <c r="AF11" s="93"/>
    </row>
    <row r="12" spans="1:39" ht="46.5" hidden="1" customHeight="1" x14ac:dyDescent="0.25">
      <c r="A12" s="113"/>
      <c r="B12" s="114"/>
      <c r="C12" s="115"/>
      <c r="D12" s="116"/>
      <c r="E12" s="97" t="s">
        <v>248</v>
      </c>
      <c r="F12" s="98" t="s">
        <v>19</v>
      </c>
      <c r="G12" s="117"/>
      <c r="H12" s="118"/>
      <c r="I12" s="117"/>
      <c r="J12" s="118"/>
      <c r="K12" s="119"/>
      <c r="L12" s="120"/>
      <c r="M12" s="119">
        <v>2</v>
      </c>
      <c r="N12" s="344">
        <f>493.4+1107+4000+7700</f>
        <v>13300.4</v>
      </c>
      <c r="O12" s="344"/>
      <c r="P12" s="119">
        <v>0</v>
      </c>
      <c r="Q12" s="122"/>
      <c r="R12" s="123">
        <v>1</v>
      </c>
      <c r="S12" s="120"/>
      <c r="T12" s="119"/>
      <c r="U12" s="125"/>
      <c r="V12" s="119"/>
      <c r="W12" s="125"/>
      <c r="X12" s="246">
        <v>1</v>
      </c>
      <c r="Y12" s="122"/>
      <c r="Z12" s="137"/>
      <c r="AA12" s="126"/>
      <c r="AB12" s="127"/>
      <c r="AC12" s="118"/>
      <c r="AD12" s="128"/>
      <c r="AE12" s="129"/>
      <c r="AF12" s="113"/>
    </row>
    <row r="13" spans="1:39" ht="43.5" hidden="1" customHeight="1" x14ac:dyDescent="0.25">
      <c r="A13" s="113">
        <v>2</v>
      </c>
      <c r="B13" s="130" t="s">
        <v>185</v>
      </c>
      <c r="C13" s="131" t="s">
        <v>249</v>
      </c>
      <c r="D13" s="132" t="s">
        <v>20</v>
      </c>
      <c r="E13" s="133" t="s">
        <v>250</v>
      </c>
      <c r="F13" s="134" t="s">
        <v>19</v>
      </c>
      <c r="G13" s="117">
        <v>3</v>
      </c>
      <c r="H13" s="118">
        <v>60000</v>
      </c>
      <c r="I13" s="117">
        <v>1</v>
      </c>
      <c r="J13" s="118">
        <v>11649.34</v>
      </c>
      <c r="K13" s="119">
        <v>1</v>
      </c>
      <c r="L13" s="124">
        <v>15000</v>
      </c>
      <c r="M13" s="119">
        <v>1</v>
      </c>
      <c r="N13" s="121">
        <v>14150</v>
      </c>
      <c r="O13" s="121">
        <v>14150</v>
      </c>
      <c r="P13" s="119">
        <v>0</v>
      </c>
      <c r="Q13" s="121">
        <v>998</v>
      </c>
      <c r="R13" s="123">
        <v>0</v>
      </c>
      <c r="S13" s="124">
        <v>0</v>
      </c>
      <c r="T13" s="119"/>
      <c r="U13" s="125"/>
      <c r="V13" s="119"/>
      <c r="W13" s="136"/>
      <c r="X13" s="119">
        <f t="shared" si="1"/>
        <v>0</v>
      </c>
      <c r="Y13" s="121">
        <f t="shared" si="1"/>
        <v>998</v>
      </c>
      <c r="Z13" s="137">
        <f>X13/M13*100</f>
        <v>0</v>
      </c>
      <c r="AA13" s="126">
        <f>Y13/N13*100</f>
        <v>7.053003533568905</v>
      </c>
      <c r="AB13" s="138">
        <f>I13+X13</f>
        <v>1</v>
      </c>
      <c r="AC13" s="118">
        <f>Y13+J13</f>
        <v>12647.34</v>
      </c>
      <c r="AD13" s="139">
        <f>AB13/G13*100</f>
        <v>33.333333333333329</v>
      </c>
      <c r="AE13" s="129">
        <f>AC13/H13*100</f>
        <v>21.078900000000001</v>
      </c>
      <c r="AF13" s="113"/>
    </row>
    <row r="14" spans="1:39" s="72" customFormat="1" ht="49.5" hidden="1" customHeight="1" x14ac:dyDescent="0.25">
      <c r="A14" s="50"/>
      <c r="B14" s="51" t="s">
        <v>241</v>
      </c>
      <c r="C14" s="52"/>
      <c r="D14" s="53" t="s">
        <v>13</v>
      </c>
      <c r="E14" s="54" t="s">
        <v>21</v>
      </c>
      <c r="F14" s="55" t="s">
        <v>15</v>
      </c>
      <c r="G14" s="56"/>
      <c r="H14" s="57"/>
      <c r="I14" s="140">
        <v>100</v>
      </c>
      <c r="J14" s="57">
        <f>'[1]TW IV FIX'!$AC$13</f>
        <v>3024869.0240000002</v>
      </c>
      <c r="K14" s="56">
        <v>100</v>
      </c>
      <c r="L14" s="57">
        <f>L15</f>
        <v>3458289.74</v>
      </c>
      <c r="M14" s="59">
        <v>100</v>
      </c>
      <c r="N14" s="57">
        <f>N15</f>
        <v>3193719.926</v>
      </c>
      <c r="O14" s="57">
        <f>O16</f>
        <v>3220108.3</v>
      </c>
      <c r="P14" s="56">
        <v>25</v>
      </c>
      <c r="Q14" s="57">
        <f>Q15</f>
        <v>532102.20499999996</v>
      </c>
      <c r="R14" s="141">
        <v>25</v>
      </c>
      <c r="S14" s="142">
        <f>S15</f>
        <v>824387.54800000007</v>
      </c>
      <c r="T14" s="141"/>
      <c r="U14" s="143"/>
      <c r="V14" s="144"/>
      <c r="W14" s="143"/>
      <c r="X14" s="56">
        <f>P14+R14+T14+V14</f>
        <v>50</v>
      </c>
      <c r="Y14" s="57">
        <f>Q14+S14+U14+W14</f>
        <v>1356489.753</v>
      </c>
      <c r="Z14" s="66">
        <f>X14/M14*100</f>
        <v>50</v>
      </c>
      <c r="AA14" s="60">
        <f>Y14/N14*100</f>
        <v>42.473660321834998</v>
      </c>
      <c r="AB14" s="66">
        <v>100</v>
      </c>
      <c r="AC14" s="57">
        <f>J14+Y14</f>
        <v>4381358.7770000007</v>
      </c>
      <c r="AD14" s="615">
        <v>100</v>
      </c>
      <c r="AE14" s="616">
        <v>90.77</v>
      </c>
      <c r="AF14" s="50"/>
      <c r="AH14" s="145"/>
      <c r="AI14" s="145">
        <v>22500</v>
      </c>
      <c r="AJ14" s="145">
        <v>54815</v>
      </c>
      <c r="AK14" s="145">
        <v>0</v>
      </c>
    </row>
    <row r="15" spans="1:39" ht="50.25" hidden="1" customHeight="1" x14ac:dyDescent="0.25">
      <c r="A15" s="146"/>
      <c r="B15" s="147" t="s">
        <v>251</v>
      </c>
      <c r="C15" s="148"/>
      <c r="D15" s="149" t="s">
        <v>22</v>
      </c>
      <c r="E15" s="79" t="s">
        <v>145</v>
      </c>
      <c r="F15" s="80" t="s">
        <v>252</v>
      </c>
      <c r="G15" s="150"/>
      <c r="H15" s="151"/>
      <c r="I15" s="150"/>
      <c r="J15" s="151"/>
      <c r="K15" s="152">
        <v>12</v>
      </c>
      <c r="L15" s="153">
        <f>L16</f>
        <v>3458289.74</v>
      </c>
      <c r="M15" s="154">
        <f>SUM(M16)</f>
        <v>12</v>
      </c>
      <c r="N15" s="155">
        <f>SUM(N16)</f>
        <v>3193719.926</v>
      </c>
      <c r="O15" s="155">
        <f>SUM(O16)</f>
        <v>3220108.3</v>
      </c>
      <c r="P15" s="154">
        <v>3</v>
      </c>
      <c r="Q15" s="155">
        <f>Q16</f>
        <v>532102.20499999996</v>
      </c>
      <c r="R15" s="154">
        <v>3</v>
      </c>
      <c r="S15" s="155">
        <f>SUM(S16)</f>
        <v>824387.54800000007</v>
      </c>
      <c r="T15" s="154"/>
      <c r="U15" s="156"/>
      <c r="V15" s="157"/>
      <c r="W15" s="156"/>
      <c r="X15" s="154">
        <f>SUM(X16)</f>
        <v>6</v>
      </c>
      <c r="Y15" s="155">
        <f>SUM(Y16)</f>
        <v>1356489.753</v>
      </c>
      <c r="Z15" s="154">
        <f>SUM(Z16)</f>
        <v>50</v>
      </c>
      <c r="AA15" s="158">
        <f t="shared" ref="AA15:AA48" si="2">Y15/N15*100</f>
        <v>42.473660321834998</v>
      </c>
      <c r="AB15" s="159"/>
      <c r="AC15" s="160"/>
      <c r="AD15" s="161"/>
      <c r="AE15" s="162"/>
      <c r="AF15" s="146"/>
    </row>
    <row r="16" spans="1:39" ht="36" hidden="1" customHeight="1" x14ac:dyDescent="0.25">
      <c r="A16" s="134">
        <v>3</v>
      </c>
      <c r="B16" s="163" t="s">
        <v>253</v>
      </c>
      <c r="C16" s="164"/>
      <c r="D16" s="165" t="s">
        <v>23</v>
      </c>
      <c r="E16" s="133" t="s">
        <v>24</v>
      </c>
      <c r="F16" s="134" t="s">
        <v>25</v>
      </c>
      <c r="G16" s="166"/>
      <c r="H16" s="167"/>
      <c r="I16" s="166"/>
      <c r="J16" s="167"/>
      <c r="K16" s="168">
        <v>12</v>
      </c>
      <c r="L16" s="169">
        <v>3458289.74</v>
      </c>
      <c r="M16" s="168">
        <v>12</v>
      </c>
      <c r="N16" s="169">
        <v>3193719.926</v>
      </c>
      <c r="O16" s="169">
        <v>3220108.3</v>
      </c>
      <c r="P16" s="168">
        <v>3</v>
      </c>
      <c r="Q16" s="169">
        <v>532102.20499999996</v>
      </c>
      <c r="R16" s="170">
        <v>3</v>
      </c>
      <c r="S16" s="171">
        <f>Y16-Q16</f>
        <v>824387.54800000007</v>
      </c>
      <c r="T16" s="170"/>
      <c r="U16" s="171"/>
      <c r="V16" s="168"/>
      <c r="W16" s="169"/>
      <c r="X16" s="168">
        <f t="shared" si="1"/>
        <v>6</v>
      </c>
      <c r="Y16" s="169">
        <v>1356489.753</v>
      </c>
      <c r="Z16" s="172">
        <f>X16/M16*100</f>
        <v>50</v>
      </c>
      <c r="AA16" s="173">
        <f t="shared" si="2"/>
        <v>42.473660321834998</v>
      </c>
      <c r="AB16" s="174"/>
      <c r="AC16" s="175">
        <f>Y16+J16</f>
        <v>1356489.753</v>
      </c>
      <c r="AD16" s="176" t="e">
        <f>AB16/G16*100</f>
        <v>#DIV/0!</v>
      </c>
      <c r="AE16" s="177" t="e">
        <f>AC16/H16*100</f>
        <v>#DIV/0!</v>
      </c>
      <c r="AF16" s="134"/>
    </row>
    <row r="17" spans="1:38" s="72" customFormat="1" ht="50.25" hidden="1" customHeight="1" x14ac:dyDescent="0.25">
      <c r="A17" s="71"/>
      <c r="B17" s="178"/>
      <c r="C17" s="179" t="s">
        <v>254</v>
      </c>
      <c r="D17" s="180" t="s">
        <v>13</v>
      </c>
      <c r="E17" s="181" t="s">
        <v>26</v>
      </c>
      <c r="F17" s="182" t="s">
        <v>15</v>
      </c>
      <c r="G17" s="183">
        <v>100</v>
      </c>
      <c r="H17" s="68">
        <f>H19+H21</f>
        <v>486500</v>
      </c>
      <c r="I17" s="67">
        <f>'[1]TW IV FIX'!$AB$16</f>
        <v>92.583333333333329</v>
      </c>
      <c r="J17" s="68">
        <f>'[1]TW IV FIX'!$AC$16</f>
        <v>149815</v>
      </c>
      <c r="K17" s="183">
        <f>K18</f>
        <v>78</v>
      </c>
      <c r="L17" s="68">
        <f>L18</f>
        <v>0</v>
      </c>
      <c r="M17" s="184">
        <f>M18</f>
        <v>0</v>
      </c>
      <c r="N17" s="68">
        <f>N18</f>
        <v>0</v>
      </c>
      <c r="O17" s="184">
        <f>O19+O21</f>
        <v>0</v>
      </c>
      <c r="P17" s="183">
        <v>0</v>
      </c>
      <c r="Q17" s="68">
        <v>0</v>
      </c>
      <c r="R17" s="185"/>
      <c r="S17" s="186"/>
      <c r="T17" s="187"/>
      <c r="U17" s="188"/>
      <c r="V17" s="188"/>
      <c r="W17" s="188"/>
      <c r="X17" s="189">
        <f>P17+R17+T17+V17</f>
        <v>0</v>
      </c>
      <c r="Y17" s="68">
        <f>Q17+S17+U17+W17</f>
        <v>0</v>
      </c>
      <c r="Z17" s="67" t="e">
        <f>X17/M17*100</f>
        <v>#DIV/0!</v>
      </c>
      <c r="AA17" s="190" t="e">
        <f t="shared" si="2"/>
        <v>#DIV/0!</v>
      </c>
      <c r="AB17" s="67">
        <f>I17+X17</f>
        <v>92.583333333333329</v>
      </c>
      <c r="AC17" s="68">
        <f>J17+Y17</f>
        <v>149815</v>
      </c>
      <c r="AD17" s="69">
        <f>AB17/G17*100</f>
        <v>92.583333333333329</v>
      </c>
      <c r="AE17" s="70">
        <f>AC17/H17*100</f>
        <v>30.794450154162384</v>
      </c>
      <c r="AF17" s="71"/>
      <c r="AH17" s="191"/>
      <c r="AI17" s="191">
        <v>14999</v>
      </c>
      <c r="AJ17" s="191">
        <v>9892.2999999999993</v>
      </c>
      <c r="AK17" s="191">
        <v>36280.629999999997</v>
      </c>
      <c r="AL17" s="73"/>
    </row>
    <row r="18" spans="1:38" ht="72.75" hidden="1" customHeight="1" x14ac:dyDescent="0.25">
      <c r="A18" s="146"/>
      <c r="B18" s="192"/>
      <c r="C18" s="193"/>
      <c r="D18" s="149" t="s">
        <v>27</v>
      </c>
      <c r="E18" s="79" t="s">
        <v>255</v>
      </c>
      <c r="F18" s="80" t="s">
        <v>256</v>
      </c>
      <c r="G18" s="150"/>
      <c r="H18" s="151"/>
      <c r="I18" s="150"/>
      <c r="J18" s="151"/>
      <c r="K18" s="154">
        <f>SUM(K19:K21)</f>
        <v>78</v>
      </c>
      <c r="L18" s="155">
        <f>SUM(L19:L21)</f>
        <v>0</v>
      </c>
      <c r="M18" s="157">
        <v>0</v>
      </c>
      <c r="N18" s="155">
        <f>SUM(N19:N21)</f>
        <v>0</v>
      </c>
      <c r="O18" s="157">
        <f>SUM(O19:O21)</f>
        <v>0</v>
      </c>
      <c r="P18" s="154">
        <v>0</v>
      </c>
      <c r="Q18" s="153">
        <v>0</v>
      </c>
      <c r="R18" s="154"/>
      <c r="S18" s="153"/>
      <c r="T18" s="154"/>
      <c r="U18" s="194"/>
      <c r="V18" s="194"/>
      <c r="W18" s="157"/>
      <c r="X18" s="154">
        <f>SUM(X19:X21)</f>
        <v>0</v>
      </c>
      <c r="Y18" s="155">
        <f>SUM(Y19:Y21)</f>
        <v>0</v>
      </c>
      <c r="Z18" s="154" t="e">
        <f>SUM(Z19:Z21)</f>
        <v>#DIV/0!</v>
      </c>
      <c r="AA18" s="190" t="e">
        <f t="shared" si="2"/>
        <v>#DIV/0!</v>
      </c>
      <c r="AB18" s="67">
        <f>I18+X18</f>
        <v>0</v>
      </c>
      <c r="AC18" s="160"/>
      <c r="AD18" s="161"/>
      <c r="AE18" s="162"/>
      <c r="AF18" s="146"/>
    </row>
    <row r="19" spans="1:38" ht="44.25" hidden="1" customHeight="1" x14ac:dyDescent="0.25">
      <c r="A19" s="93"/>
      <c r="B19" s="195"/>
      <c r="C19" s="196" t="s">
        <v>257</v>
      </c>
      <c r="D19" s="197" t="s">
        <v>28</v>
      </c>
      <c r="E19" s="198" t="s">
        <v>29</v>
      </c>
      <c r="F19" s="93" t="s">
        <v>30</v>
      </c>
      <c r="G19" s="99">
        <v>235</v>
      </c>
      <c r="H19" s="100">
        <v>221500</v>
      </c>
      <c r="I19" s="99">
        <f>0+50+95+0</f>
        <v>145</v>
      </c>
      <c r="J19" s="100">
        <f>0+22500+54815+0</f>
        <v>77315</v>
      </c>
      <c r="K19" s="101">
        <v>70</v>
      </c>
      <c r="L19" s="103">
        <v>0</v>
      </c>
      <c r="M19" s="101">
        <v>0</v>
      </c>
      <c r="N19" s="103">
        <v>0</v>
      </c>
      <c r="O19" s="107"/>
      <c r="P19" s="101">
        <v>0</v>
      </c>
      <c r="Q19" s="103">
        <v>0</v>
      </c>
      <c r="R19" s="105"/>
      <c r="S19" s="106"/>
      <c r="T19" s="101"/>
      <c r="U19" s="107"/>
      <c r="V19" s="101"/>
      <c r="W19" s="107"/>
      <c r="X19" s="101">
        <f t="shared" si="1"/>
        <v>0</v>
      </c>
      <c r="Y19" s="103">
        <f t="shared" si="1"/>
        <v>0</v>
      </c>
      <c r="Z19" s="199" t="e">
        <f>X19/M19*100</f>
        <v>#DIV/0!</v>
      </c>
      <c r="AA19" s="190" t="e">
        <f t="shared" si="2"/>
        <v>#DIV/0!</v>
      </c>
      <c r="AB19" s="67">
        <f>I19+X19</f>
        <v>145</v>
      </c>
      <c r="AC19" s="100">
        <f>Y19+J19</f>
        <v>77315</v>
      </c>
      <c r="AD19" s="200">
        <f>AB19/G19*100</f>
        <v>61.702127659574465</v>
      </c>
      <c r="AE19" s="112">
        <f>AC19/H19*100</f>
        <v>34.905191873589168</v>
      </c>
      <c r="AF19" s="93"/>
    </row>
    <row r="20" spans="1:38" ht="45.75" hidden="1" customHeight="1" x14ac:dyDescent="0.25">
      <c r="A20" s="93"/>
      <c r="B20" s="201"/>
      <c r="C20" s="202" t="s">
        <v>258</v>
      </c>
      <c r="D20" s="203"/>
      <c r="E20" s="198"/>
      <c r="F20" s="93"/>
      <c r="G20" s="204"/>
      <c r="H20" s="100"/>
      <c r="I20" s="99"/>
      <c r="J20" s="100"/>
      <c r="K20" s="101"/>
      <c r="L20" s="103"/>
      <c r="M20" s="101"/>
      <c r="N20" s="103"/>
      <c r="O20" s="109"/>
      <c r="P20" s="101"/>
      <c r="Q20" s="103"/>
      <c r="R20" s="105"/>
      <c r="S20" s="106"/>
      <c r="T20" s="205"/>
      <c r="U20" s="107"/>
      <c r="V20" s="101"/>
      <c r="W20" s="107"/>
      <c r="X20" s="101"/>
      <c r="Y20" s="103"/>
      <c r="Z20" s="199"/>
      <c r="AA20" s="190" t="e">
        <f t="shared" si="2"/>
        <v>#DIV/0!</v>
      </c>
      <c r="AB20" s="67">
        <f>I20+X20</f>
        <v>0</v>
      </c>
      <c r="AC20" s="100"/>
      <c r="AD20" s="111"/>
      <c r="AE20" s="112"/>
      <c r="AF20" s="93"/>
    </row>
    <row r="21" spans="1:38" ht="43.5" hidden="1" customHeight="1" x14ac:dyDescent="0.25">
      <c r="A21" s="113"/>
      <c r="B21" s="206"/>
      <c r="C21" s="196" t="s">
        <v>259</v>
      </c>
      <c r="D21" s="132" t="s">
        <v>31</v>
      </c>
      <c r="E21" s="207" t="s">
        <v>32</v>
      </c>
      <c r="F21" s="113" t="s">
        <v>33</v>
      </c>
      <c r="G21" s="208">
        <v>96</v>
      </c>
      <c r="H21" s="118">
        <v>265000</v>
      </c>
      <c r="I21" s="117">
        <f>0+5+9+0</f>
        <v>14</v>
      </c>
      <c r="J21" s="118">
        <f>0+22500+25000+0</f>
        <v>47500</v>
      </c>
      <c r="K21" s="119">
        <v>8</v>
      </c>
      <c r="L21" s="121">
        <v>0</v>
      </c>
      <c r="M21" s="119">
        <v>0</v>
      </c>
      <c r="N21" s="121">
        <v>0</v>
      </c>
      <c r="O21" s="125"/>
      <c r="P21" s="119">
        <v>0</v>
      </c>
      <c r="Q21" s="121">
        <v>0</v>
      </c>
      <c r="R21" s="123"/>
      <c r="S21" s="124"/>
      <c r="T21" s="209"/>
      <c r="U21" s="125"/>
      <c r="V21" s="119"/>
      <c r="W21" s="125"/>
      <c r="X21" s="119">
        <f t="shared" si="1"/>
        <v>0</v>
      </c>
      <c r="Y21" s="121">
        <f t="shared" si="1"/>
        <v>0</v>
      </c>
      <c r="Z21" s="137" t="e">
        <f>X21/M21*100</f>
        <v>#DIV/0!</v>
      </c>
      <c r="AA21" s="190" t="e">
        <f t="shared" si="2"/>
        <v>#DIV/0!</v>
      </c>
      <c r="AB21" s="67">
        <f>I21+X21</f>
        <v>14</v>
      </c>
      <c r="AC21" s="118">
        <f>Y21+J21</f>
        <v>47500</v>
      </c>
      <c r="AD21" s="128">
        <f>AB21/G21*100</f>
        <v>14.583333333333334</v>
      </c>
      <c r="AE21" s="129">
        <f>AC21/H21*100</f>
        <v>17.924528301886792</v>
      </c>
      <c r="AF21" s="113"/>
    </row>
    <row r="22" spans="1:38" s="223" customFormat="1" ht="53.25" hidden="1" customHeight="1" x14ac:dyDescent="0.25">
      <c r="A22" s="210"/>
      <c r="B22" s="51" t="s">
        <v>241</v>
      </c>
      <c r="C22" s="211" t="s">
        <v>260</v>
      </c>
      <c r="D22" s="210" t="s">
        <v>13</v>
      </c>
      <c r="E22" s="212" t="s">
        <v>34</v>
      </c>
      <c r="F22" s="213" t="s">
        <v>15</v>
      </c>
      <c r="G22" s="214">
        <v>100</v>
      </c>
      <c r="H22" s="215">
        <f>H24+H25+H26+H27+H28+H30+H31</f>
        <v>7672000</v>
      </c>
      <c r="I22" s="216">
        <f>'[1]TW IV FIX'!$AB$21</f>
        <v>100</v>
      </c>
      <c r="J22" s="215">
        <f>'[1]TW IV FIX'!$AC$21</f>
        <v>6301918.3399999999</v>
      </c>
      <c r="K22" s="214">
        <v>100</v>
      </c>
      <c r="L22" s="217">
        <f>L23+L29</f>
        <v>1511956.7</v>
      </c>
      <c r="M22" s="214">
        <v>100</v>
      </c>
      <c r="N22" s="217">
        <f>N23+N29</f>
        <v>1278269.2</v>
      </c>
      <c r="O22" s="626">
        <f>O24+O26+O27+O28+O30+O31</f>
        <v>1308269.2</v>
      </c>
      <c r="P22" s="214">
        <v>25</v>
      </c>
      <c r="Q22" s="217">
        <f>Q23+Q29</f>
        <v>156291.361</v>
      </c>
      <c r="R22" s="218">
        <v>25</v>
      </c>
      <c r="S22" s="219">
        <f ca="1">S23+S29</f>
        <v>24275</v>
      </c>
      <c r="T22" s="218"/>
      <c r="U22" s="220"/>
      <c r="V22" s="221"/>
      <c r="W22" s="221"/>
      <c r="X22" s="214">
        <f>+P22+R22+T22+V22</f>
        <v>50</v>
      </c>
      <c r="Y22" s="215">
        <f>Y23+Y29</f>
        <v>600373.31700000004</v>
      </c>
      <c r="Z22" s="222">
        <v>75</v>
      </c>
      <c r="AA22" s="60">
        <f t="shared" si="2"/>
        <v>46.967674492978482</v>
      </c>
      <c r="AB22" s="66">
        <v>100</v>
      </c>
      <c r="AC22" s="420">
        <f>J22+Y22</f>
        <v>6902291.6569999997</v>
      </c>
      <c r="AD22" s="617">
        <f>AB22/G22*100</f>
        <v>100</v>
      </c>
      <c r="AE22" s="222">
        <f>AC22/H22*100</f>
        <v>89.967305226798743</v>
      </c>
      <c r="AF22" s="210"/>
      <c r="AH22" s="224">
        <v>271866</v>
      </c>
      <c r="AI22" s="224">
        <v>513410</v>
      </c>
      <c r="AJ22" s="224">
        <f>291044-5794</f>
        <v>285250</v>
      </c>
      <c r="AK22" s="224">
        <v>246285.989</v>
      </c>
    </row>
    <row r="23" spans="1:38" s="72" customFormat="1" ht="41.25" hidden="1" customHeight="1" x14ac:dyDescent="0.25">
      <c r="A23" s="80"/>
      <c r="B23" s="192" t="s">
        <v>261</v>
      </c>
      <c r="C23" s="193"/>
      <c r="D23" s="78" t="s">
        <v>35</v>
      </c>
      <c r="E23" s="225" t="s">
        <v>262</v>
      </c>
      <c r="F23" s="226" t="s">
        <v>252</v>
      </c>
      <c r="G23" s="83"/>
      <c r="H23" s="82"/>
      <c r="I23" s="83"/>
      <c r="J23" s="82"/>
      <c r="K23" s="84">
        <v>12</v>
      </c>
      <c r="L23" s="85">
        <f>SUM(L24:L28)</f>
        <v>896923.7</v>
      </c>
      <c r="M23" s="86">
        <v>12</v>
      </c>
      <c r="N23" s="85">
        <f>SUM(N24:N28)</f>
        <v>663236.19999999995</v>
      </c>
      <c r="O23" s="85">
        <f>SUM(O24:O28)</f>
        <v>733236.2</v>
      </c>
      <c r="P23" s="228">
        <v>3</v>
      </c>
      <c r="Q23" s="85">
        <f>SUM(Q24:Q28)</f>
        <v>75132.5</v>
      </c>
      <c r="R23" s="228">
        <v>3</v>
      </c>
      <c r="S23" s="85">
        <f ca="1">SUM(S24:S28)</f>
        <v>24275</v>
      </c>
      <c r="T23" s="228"/>
      <c r="U23" s="229"/>
      <c r="V23" s="86"/>
      <c r="W23" s="86"/>
      <c r="X23" s="228">
        <f>P23+R23+T23+V23</f>
        <v>6</v>
      </c>
      <c r="Y23" s="90">
        <f>Y24+Y26+Y27+Y28</f>
        <v>367829.5</v>
      </c>
      <c r="Z23" s="230">
        <f t="shared" ref="Z23:Z32" si="3">X23/M23*100</f>
        <v>50</v>
      </c>
      <c r="AA23" s="158">
        <f t="shared" si="2"/>
        <v>55.459804516098487</v>
      </c>
      <c r="AB23" s="231"/>
      <c r="AC23" s="232"/>
      <c r="AD23" s="233"/>
      <c r="AE23" s="234"/>
      <c r="AF23" s="226"/>
    </row>
    <row r="24" spans="1:38" ht="52.5" hidden="1" customHeight="1" x14ac:dyDescent="0.25">
      <c r="A24" s="134">
        <v>4</v>
      </c>
      <c r="B24" s="163" t="s">
        <v>186</v>
      </c>
      <c r="C24" s="196" t="s">
        <v>263</v>
      </c>
      <c r="D24" s="165" t="s">
        <v>36</v>
      </c>
      <c r="E24" s="133" t="s">
        <v>264</v>
      </c>
      <c r="F24" s="235" t="s">
        <v>25</v>
      </c>
      <c r="G24" s="236">
        <v>60</v>
      </c>
      <c r="H24" s="175">
        <v>224000</v>
      </c>
      <c r="I24" s="236">
        <f>12+12+12+12</f>
        <v>48</v>
      </c>
      <c r="J24" s="175">
        <f>39219+39999+31995+21499.5</f>
        <v>132712.5</v>
      </c>
      <c r="K24" s="237">
        <v>12</v>
      </c>
      <c r="L24" s="238">
        <v>96922.7</v>
      </c>
      <c r="M24" s="239">
        <v>12</v>
      </c>
      <c r="N24" s="240">
        <v>96622.7</v>
      </c>
      <c r="O24" s="622">
        <v>96622.7</v>
      </c>
      <c r="P24" s="168">
        <v>3</v>
      </c>
      <c r="Q24" s="169">
        <v>26100</v>
      </c>
      <c r="R24" s="170">
        <v>3</v>
      </c>
      <c r="S24" s="171">
        <f>Y24-Q24</f>
        <v>24275</v>
      </c>
      <c r="T24" s="168"/>
      <c r="U24" s="241"/>
      <c r="V24" s="168"/>
      <c r="W24" s="173"/>
      <c r="X24" s="168">
        <f t="shared" si="1"/>
        <v>6</v>
      </c>
      <c r="Y24" s="171">
        <f>45775+4600</f>
        <v>50375</v>
      </c>
      <c r="Z24" s="242">
        <f t="shared" si="3"/>
        <v>50</v>
      </c>
      <c r="AA24" s="173">
        <f t="shared" si="2"/>
        <v>52.135781757288925</v>
      </c>
      <c r="AB24" s="243">
        <f>I24+X24</f>
        <v>54</v>
      </c>
      <c r="AC24" s="175">
        <f>Y24+J24</f>
        <v>183087.5</v>
      </c>
      <c r="AD24" s="244">
        <f t="shared" ref="AD24:AE28" si="4">AB24/G24*100</f>
        <v>90</v>
      </c>
      <c r="AE24" s="177">
        <f t="shared" si="4"/>
        <v>81.735491071428569</v>
      </c>
      <c r="AF24" s="134"/>
    </row>
    <row r="25" spans="1:38" ht="40.5" hidden="1" customHeight="1" x14ac:dyDescent="0.25">
      <c r="A25" s="113"/>
      <c r="B25" s="163" t="s">
        <v>265</v>
      </c>
      <c r="C25" s="131" t="s">
        <v>36</v>
      </c>
      <c r="D25" s="132"/>
      <c r="E25" s="207"/>
      <c r="F25" s="245"/>
      <c r="G25" s="117">
        <v>60</v>
      </c>
      <c r="H25" s="118">
        <v>167500</v>
      </c>
      <c r="I25" s="117">
        <f>12+12+12+12</f>
        <v>48</v>
      </c>
      <c r="J25" s="118">
        <f>21595+24716+41560+43561.5</f>
        <v>131432.5</v>
      </c>
      <c r="K25" s="246"/>
      <c r="L25" s="122"/>
      <c r="M25" s="247"/>
      <c r="N25" s="248"/>
      <c r="O25" s="623"/>
      <c r="P25" s="119"/>
      <c r="Q25" s="121"/>
      <c r="R25" s="123"/>
      <c r="S25" s="171">
        <f t="shared" ref="S25:S26" ca="1" si="5">Y25-Q25</f>
        <v>24275</v>
      </c>
      <c r="T25" s="119"/>
      <c r="U25" s="125"/>
      <c r="V25" s="119"/>
      <c r="W25" s="125"/>
      <c r="X25" s="117">
        <f t="shared" si="1"/>
        <v>0</v>
      </c>
      <c r="Y25" s="118">
        <f t="shared" ca="1" si="1"/>
        <v>0</v>
      </c>
      <c r="Z25" s="139" t="e">
        <f t="shared" si="3"/>
        <v>#DIV/0!</v>
      </c>
      <c r="AA25" s="249" t="e">
        <f t="shared" ca="1" si="2"/>
        <v>#DIV/0!</v>
      </c>
      <c r="AB25" s="138">
        <f>I25+X25</f>
        <v>48</v>
      </c>
      <c r="AC25" s="118">
        <f ca="1">Y25+J25</f>
        <v>131432.5</v>
      </c>
      <c r="AD25" s="128">
        <f t="shared" si="4"/>
        <v>80</v>
      </c>
      <c r="AE25" s="129">
        <f t="shared" ca="1" si="4"/>
        <v>78.467164179104472</v>
      </c>
      <c r="AF25" s="113"/>
    </row>
    <row r="26" spans="1:38" ht="65.25" hidden="1" customHeight="1" x14ac:dyDescent="0.25">
      <c r="A26" s="134">
        <v>5</v>
      </c>
      <c r="B26" s="163" t="s">
        <v>187</v>
      </c>
      <c r="C26" s="196" t="s">
        <v>266</v>
      </c>
      <c r="D26" s="132" t="s">
        <v>37</v>
      </c>
      <c r="E26" s="207" t="s">
        <v>267</v>
      </c>
      <c r="F26" s="113" t="s">
        <v>25</v>
      </c>
      <c r="G26" s="117">
        <v>60</v>
      </c>
      <c r="H26" s="118">
        <v>545000</v>
      </c>
      <c r="I26" s="117">
        <f>12+12+12+12</f>
        <v>48</v>
      </c>
      <c r="J26" s="118">
        <f>98426+84665+104792+161491.228</f>
        <v>449374.228</v>
      </c>
      <c r="K26" s="119">
        <v>12</v>
      </c>
      <c r="L26" s="121">
        <v>127501</v>
      </c>
      <c r="M26" s="119">
        <v>12</v>
      </c>
      <c r="N26" s="121">
        <v>121613.5</v>
      </c>
      <c r="O26" s="624">
        <v>121613.5</v>
      </c>
      <c r="P26" s="119">
        <v>3</v>
      </c>
      <c r="Q26" s="121">
        <v>18362.5</v>
      </c>
      <c r="R26" s="123">
        <v>3</v>
      </c>
      <c r="S26" s="171">
        <f t="shared" si="5"/>
        <v>40802</v>
      </c>
      <c r="T26" s="119"/>
      <c r="U26" s="136"/>
      <c r="V26" s="119"/>
      <c r="W26" s="125"/>
      <c r="X26" s="119">
        <f t="shared" si="1"/>
        <v>6</v>
      </c>
      <c r="Y26" s="121">
        <f>47350+11814.5</f>
        <v>59164.5</v>
      </c>
      <c r="Z26" s="137">
        <f t="shared" si="3"/>
        <v>50</v>
      </c>
      <c r="AA26" s="173">
        <f t="shared" si="2"/>
        <v>48.649615379871477</v>
      </c>
      <c r="AB26" s="138">
        <f>I26+X26</f>
        <v>54</v>
      </c>
      <c r="AC26" s="118">
        <f>Y26+J26</f>
        <v>508538.728</v>
      </c>
      <c r="AD26" s="139">
        <f t="shared" si="4"/>
        <v>90</v>
      </c>
      <c r="AE26" s="129">
        <f t="shared" si="4"/>
        <v>93.309858348623848</v>
      </c>
      <c r="AF26" s="113"/>
    </row>
    <row r="27" spans="1:38" ht="50.25" hidden="1" customHeight="1" x14ac:dyDescent="0.25">
      <c r="A27" s="134">
        <v>6</v>
      </c>
      <c r="B27" s="163" t="s">
        <v>188</v>
      </c>
      <c r="C27" s="196" t="s">
        <v>268</v>
      </c>
      <c r="D27" s="165" t="s">
        <v>38</v>
      </c>
      <c r="E27" s="133" t="s">
        <v>269</v>
      </c>
      <c r="F27" s="134" t="s">
        <v>25</v>
      </c>
      <c r="G27" s="236">
        <v>60</v>
      </c>
      <c r="H27" s="175">
        <v>175500</v>
      </c>
      <c r="I27" s="236">
        <f>12+12+12+12</f>
        <v>48</v>
      </c>
      <c r="J27" s="175">
        <f>33000+29995+34978+45485.3</f>
        <v>143458.29999999999</v>
      </c>
      <c r="K27" s="168">
        <v>12</v>
      </c>
      <c r="L27" s="169">
        <v>35000</v>
      </c>
      <c r="M27" s="168">
        <v>12</v>
      </c>
      <c r="N27" s="169">
        <v>35000</v>
      </c>
      <c r="O27" s="625">
        <v>35000</v>
      </c>
      <c r="P27" s="168">
        <v>3</v>
      </c>
      <c r="Q27" s="169">
        <v>7700</v>
      </c>
      <c r="R27" s="170">
        <v>3</v>
      </c>
      <c r="S27" s="171">
        <v>12000</v>
      </c>
      <c r="T27" s="168"/>
      <c r="U27" s="241"/>
      <c r="V27" s="168"/>
      <c r="W27" s="241"/>
      <c r="X27" s="168">
        <f t="shared" si="1"/>
        <v>6</v>
      </c>
      <c r="Y27" s="171">
        <f t="shared" si="1"/>
        <v>19700</v>
      </c>
      <c r="Z27" s="172">
        <f t="shared" si="3"/>
        <v>50</v>
      </c>
      <c r="AA27" s="173">
        <f t="shared" si="2"/>
        <v>56.285714285714285</v>
      </c>
      <c r="AB27" s="243">
        <f>I27+X27</f>
        <v>54</v>
      </c>
      <c r="AC27" s="175">
        <f>Y27+J27</f>
        <v>163158.29999999999</v>
      </c>
      <c r="AD27" s="176">
        <f t="shared" si="4"/>
        <v>90</v>
      </c>
      <c r="AE27" s="177">
        <f t="shared" si="4"/>
        <v>92.967692307692289</v>
      </c>
      <c r="AF27" s="134"/>
    </row>
    <row r="28" spans="1:38" ht="54.75" hidden="1" customHeight="1" x14ac:dyDescent="0.25">
      <c r="A28" s="93">
        <v>7</v>
      </c>
      <c r="B28" s="163" t="s">
        <v>189</v>
      </c>
      <c r="C28" s="196" t="s">
        <v>270</v>
      </c>
      <c r="D28" s="165" t="s">
        <v>39</v>
      </c>
      <c r="E28" s="133" t="s">
        <v>176</v>
      </c>
      <c r="F28" s="134" t="s">
        <v>25</v>
      </c>
      <c r="G28" s="236">
        <v>60</v>
      </c>
      <c r="H28" s="175">
        <v>3655000</v>
      </c>
      <c r="I28" s="236">
        <f>12+12+12+12</f>
        <v>48</v>
      </c>
      <c r="J28" s="175">
        <f>274635+729772+699881+489525.481</f>
        <v>2193813.4810000001</v>
      </c>
      <c r="K28" s="168">
        <v>12</v>
      </c>
      <c r="L28" s="169">
        <v>637500</v>
      </c>
      <c r="M28" s="168">
        <v>12</v>
      </c>
      <c r="N28" s="169">
        <v>410000</v>
      </c>
      <c r="O28" s="625">
        <v>480000</v>
      </c>
      <c r="P28" s="168">
        <v>3</v>
      </c>
      <c r="Q28" s="169">
        <v>22970</v>
      </c>
      <c r="R28" s="170">
        <v>3</v>
      </c>
      <c r="S28" s="171">
        <f>238590-Q28</f>
        <v>215620</v>
      </c>
      <c r="T28" s="168"/>
      <c r="U28" s="241"/>
      <c r="V28" s="168"/>
      <c r="W28" s="173"/>
      <c r="X28" s="168">
        <f t="shared" si="1"/>
        <v>6</v>
      </c>
      <c r="Y28" s="171">
        <f>Q28+S28+U28+W28</f>
        <v>238590</v>
      </c>
      <c r="Z28" s="172">
        <f t="shared" si="3"/>
        <v>50</v>
      </c>
      <c r="AA28" s="173">
        <f t="shared" si="2"/>
        <v>58.192682926829264</v>
      </c>
      <c r="AB28" s="243">
        <f>I28+X28</f>
        <v>54</v>
      </c>
      <c r="AC28" s="175">
        <f>Y28+J28</f>
        <v>2432403.4810000001</v>
      </c>
      <c r="AD28" s="176">
        <f t="shared" si="4"/>
        <v>90</v>
      </c>
      <c r="AE28" s="177">
        <f t="shared" si="4"/>
        <v>66.550026839945289</v>
      </c>
      <c r="AF28" s="134"/>
    </row>
    <row r="29" spans="1:38" s="72" customFormat="1" ht="56.25" hidden="1" customHeight="1" x14ac:dyDescent="0.25">
      <c r="A29" s="80"/>
      <c r="B29" s="250" t="s">
        <v>271</v>
      </c>
      <c r="C29" s="202" t="s">
        <v>260</v>
      </c>
      <c r="D29" s="149" t="s">
        <v>40</v>
      </c>
      <c r="E29" s="79" t="s">
        <v>272</v>
      </c>
      <c r="F29" s="80" t="s">
        <v>252</v>
      </c>
      <c r="G29" s="251"/>
      <c r="H29" s="252"/>
      <c r="I29" s="251"/>
      <c r="J29" s="252"/>
      <c r="K29" s="154">
        <v>12</v>
      </c>
      <c r="L29" s="153">
        <f>SUM(L30:L31)</f>
        <v>615033</v>
      </c>
      <c r="M29" s="253">
        <v>12</v>
      </c>
      <c r="N29" s="153">
        <f>SUM(N30:N31)</f>
        <v>615033</v>
      </c>
      <c r="O29" s="153">
        <f>SUM(O30:O31)</f>
        <v>575033</v>
      </c>
      <c r="P29" s="253">
        <v>3</v>
      </c>
      <c r="Q29" s="153">
        <f>SUM(Q30:Q31)</f>
        <v>81158.861000000004</v>
      </c>
      <c r="R29" s="253">
        <v>3</v>
      </c>
      <c r="S29" s="153">
        <f>SUM(S30:S31)</f>
        <v>151384.95600000001</v>
      </c>
      <c r="T29" s="253"/>
      <c r="U29" s="153"/>
      <c r="V29" s="253"/>
      <c r="W29" s="153"/>
      <c r="X29" s="253">
        <f>P29+R29+T29+V29</f>
        <v>6</v>
      </c>
      <c r="Y29" s="153">
        <f>SUM(Y30:Y31)</f>
        <v>232543.81700000001</v>
      </c>
      <c r="Z29" s="230">
        <f t="shared" si="3"/>
        <v>50</v>
      </c>
      <c r="AA29" s="158">
        <f t="shared" si="2"/>
        <v>37.809973936357885</v>
      </c>
      <c r="AB29" s="254"/>
      <c r="AC29" s="160"/>
      <c r="AD29" s="255"/>
      <c r="AE29" s="253"/>
      <c r="AF29" s="80"/>
    </row>
    <row r="30" spans="1:38" ht="51.75" hidden="1" customHeight="1" x14ac:dyDescent="0.25">
      <c r="A30" s="113">
        <v>8</v>
      </c>
      <c r="B30" s="206" t="s">
        <v>190</v>
      </c>
      <c r="C30" s="256" t="s">
        <v>41</v>
      </c>
      <c r="D30" s="165" t="s">
        <v>41</v>
      </c>
      <c r="E30" s="133" t="s">
        <v>273</v>
      </c>
      <c r="F30" s="134" t="s">
        <v>25</v>
      </c>
      <c r="G30" s="236">
        <v>60</v>
      </c>
      <c r="H30" s="175">
        <v>705000</v>
      </c>
      <c r="I30" s="236">
        <v>48</v>
      </c>
      <c r="J30" s="175">
        <f>71532+96034+85915+87424.982</f>
        <v>340905.98200000002</v>
      </c>
      <c r="K30" s="168">
        <v>12</v>
      </c>
      <c r="L30" s="169">
        <v>150393</v>
      </c>
      <c r="M30" s="168">
        <v>12</v>
      </c>
      <c r="N30" s="169">
        <v>150393</v>
      </c>
      <c r="O30" s="169">
        <v>110393</v>
      </c>
      <c r="P30" s="168">
        <v>3</v>
      </c>
      <c r="Q30" s="169">
        <v>23509.382000000001</v>
      </c>
      <c r="R30" s="170">
        <v>3</v>
      </c>
      <c r="S30" s="171">
        <f>45219.214-Q30</f>
        <v>21709.831999999999</v>
      </c>
      <c r="T30" s="168"/>
      <c r="U30" s="169"/>
      <c r="V30" s="168"/>
      <c r="W30" s="169"/>
      <c r="X30" s="168">
        <f t="shared" ref="X30:Y32" si="6">P30+R30+T30+V30</f>
        <v>6</v>
      </c>
      <c r="Y30" s="169">
        <f>Q30+S30+U30+W30</f>
        <v>45219.214</v>
      </c>
      <c r="Z30" s="172">
        <f t="shared" si="3"/>
        <v>50</v>
      </c>
      <c r="AA30" s="173">
        <f t="shared" si="2"/>
        <v>30.067366167308318</v>
      </c>
      <c r="AB30" s="243">
        <f>I30+X30</f>
        <v>54</v>
      </c>
      <c r="AC30" s="175">
        <f>Y30+J30</f>
        <v>386125.196</v>
      </c>
      <c r="AD30" s="176">
        <f t="shared" ref="AD30:AE32" si="7">AB30/G30*100</f>
        <v>90</v>
      </c>
      <c r="AE30" s="177">
        <f t="shared" si="7"/>
        <v>54.769531347517727</v>
      </c>
      <c r="AF30" s="134"/>
    </row>
    <row r="31" spans="1:38" ht="47.25" hidden="1" customHeight="1" x14ac:dyDescent="0.25">
      <c r="A31" s="113">
        <v>9</v>
      </c>
      <c r="B31" s="206" t="s">
        <v>191</v>
      </c>
      <c r="C31" s="196" t="s">
        <v>274</v>
      </c>
      <c r="D31" s="165" t="s">
        <v>42</v>
      </c>
      <c r="E31" s="133" t="s">
        <v>43</v>
      </c>
      <c r="F31" s="134" t="s">
        <v>25</v>
      </c>
      <c r="G31" s="236">
        <v>60</v>
      </c>
      <c r="H31" s="175">
        <v>2200000</v>
      </c>
      <c r="I31" s="236">
        <v>48</v>
      </c>
      <c r="J31" s="175">
        <f>365575+387224+413776+423407.074</f>
        <v>1589982.074</v>
      </c>
      <c r="K31" s="168">
        <v>12</v>
      </c>
      <c r="L31" s="169">
        <v>464640</v>
      </c>
      <c r="M31" s="168">
        <v>12</v>
      </c>
      <c r="N31" s="169">
        <v>464640</v>
      </c>
      <c r="O31" s="169">
        <v>464640</v>
      </c>
      <c r="P31" s="168">
        <v>3</v>
      </c>
      <c r="Q31" s="169">
        <v>57649.478999999999</v>
      </c>
      <c r="R31" s="170">
        <v>3</v>
      </c>
      <c r="S31" s="171">
        <f>187324.603-Q31</f>
        <v>129675.12400000001</v>
      </c>
      <c r="T31" s="168"/>
      <c r="U31" s="169"/>
      <c r="V31" s="168"/>
      <c r="W31" s="169"/>
      <c r="X31" s="168">
        <f t="shared" si="6"/>
        <v>6</v>
      </c>
      <c r="Y31" s="169">
        <f>Q31+S31+U31+W31</f>
        <v>187324.603</v>
      </c>
      <c r="Z31" s="172">
        <f t="shared" si="3"/>
        <v>50</v>
      </c>
      <c r="AA31" s="173">
        <f t="shared" si="2"/>
        <v>40.316073304063359</v>
      </c>
      <c r="AB31" s="243">
        <f>I31+X31</f>
        <v>54</v>
      </c>
      <c r="AC31" s="175">
        <f>Y31+J31</f>
        <v>1777306.6770000001</v>
      </c>
      <c r="AD31" s="176">
        <f t="shared" si="7"/>
        <v>90</v>
      </c>
      <c r="AE31" s="177">
        <f t="shared" si="7"/>
        <v>80.786667136363647</v>
      </c>
      <c r="AF31" s="134"/>
    </row>
    <row r="32" spans="1:38" s="72" customFormat="1" ht="53.25" hidden="1" customHeight="1" x14ac:dyDescent="0.25">
      <c r="A32" s="50"/>
      <c r="B32" s="257">
        <v>4.5844907407407404E-2</v>
      </c>
      <c r="C32" s="211" t="s">
        <v>275</v>
      </c>
      <c r="D32" s="53" t="s">
        <v>13</v>
      </c>
      <c r="E32" s="54" t="s">
        <v>44</v>
      </c>
      <c r="F32" s="55" t="s">
        <v>15</v>
      </c>
      <c r="G32" s="56">
        <v>100</v>
      </c>
      <c r="H32" s="57">
        <f>H34+H35+H36+H38+H39+H40</f>
        <v>3570750</v>
      </c>
      <c r="I32" s="258">
        <v>100</v>
      </c>
      <c r="J32" s="57">
        <f>'[1]TW IV FIX'!$AC$31</f>
        <v>2407742.9380000001</v>
      </c>
      <c r="K32" s="259">
        <f>K33+K37</f>
        <v>272</v>
      </c>
      <c r="L32" s="57">
        <f>L33+L37</f>
        <v>448606.22</v>
      </c>
      <c r="M32" s="59">
        <v>100</v>
      </c>
      <c r="N32" s="57">
        <f>N33+N37</f>
        <v>349133</v>
      </c>
      <c r="O32" s="60">
        <f>O34+O35+O36+O38+O39+O40</f>
        <v>390733</v>
      </c>
      <c r="P32" s="59">
        <v>25</v>
      </c>
      <c r="Q32" s="57">
        <f>Q37</f>
        <v>37742.5</v>
      </c>
      <c r="R32" s="61">
        <v>25</v>
      </c>
      <c r="S32" s="142">
        <f>S37</f>
        <v>70489</v>
      </c>
      <c r="T32" s="61"/>
      <c r="U32" s="260"/>
      <c r="V32" s="260"/>
      <c r="W32" s="260"/>
      <c r="X32" s="56">
        <f t="shared" si="6"/>
        <v>50</v>
      </c>
      <c r="Y32" s="57">
        <f t="shared" si="6"/>
        <v>108231.5</v>
      </c>
      <c r="Z32" s="66">
        <f t="shared" si="3"/>
        <v>50</v>
      </c>
      <c r="AA32" s="60">
        <f t="shared" si="2"/>
        <v>31.000077334425562</v>
      </c>
      <c r="AB32" s="66">
        <v>100</v>
      </c>
      <c r="AC32" s="57">
        <f>J32+Y32</f>
        <v>2515974.4380000001</v>
      </c>
      <c r="AD32" s="618">
        <f t="shared" si="7"/>
        <v>100</v>
      </c>
      <c r="AE32" s="616">
        <f t="shared" si="7"/>
        <v>70.460671791640422</v>
      </c>
      <c r="AF32" s="55"/>
      <c r="AH32" s="261"/>
      <c r="AI32" s="191">
        <v>22500</v>
      </c>
      <c r="AJ32" s="191">
        <v>25000</v>
      </c>
      <c r="AK32" s="261">
        <v>0</v>
      </c>
    </row>
    <row r="33" spans="1:41" s="72" customFormat="1" ht="45.75" hidden="1" customHeight="1" x14ac:dyDescent="0.25">
      <c r="A33" s="80"/>
      <c r="B33" s="192"/>
      <c r="C33" s="193"/>
      <c r="D33" s="149" t="s">
        <v>45</v>
      </c>
      <c r="E33" s="79" t="s">
        <v>276</v>
      </c>
      <c r="F33" s="80" t="s">
        <v>277</v>
      </c>
      <c r="G33" s="262"/>
      <c r="H33" s="263"/>
      <c r="I33" s="262"/>
      <c r="J33" s="263"/>
      <c r="K33" s="154">
        <f>SUM(K34:K36)</f>
        <v>47</v>
      </c>
      <c r="L33" s="153">
        <f>SUM(L34:L36)</f>
        <v>0</v>
      </c>
      <c r="M33" s="253">
        <f>SUM(M34:M36)</f>
        <v>0</v>
      </c>
      <c r="N33" s="153">
        <f>SUM(N34:N36)</f>
        <v>0</v>
      </c>
      <c r="O33" s="253">
        <f>SUM(O34:O36)</f>
        <v>0</v>
      </c>
      <c r="P33" s="253"/>
      <c r="Q33" s="153"/>
      <c r="R33" s="253"/>
      <c r="S33" s="153"/>
      <c r="T33" s="253"/>
      <c r="U33" s="153"/>
      <c r="V33" s="153"/>
      <c r="W33" s="153"/>
      <c r="X33" s="253">
        <f>SUM(X34:X36)</f>
        <v>0</v>
      </c>
      <c r="Y33" s="153">
        <f>SUM(Y34:Y36)</f>
        <v>0</v>
      </c>
      <c r="Z33" s="230" t="e">
        <f>SUM(Z34:Z36)</f>
        <v>#DIV/0!</v>
      </c>
      <c r="AA33" s="190" t="e">
        <f t="shared" si="2"/>
        <v>#DIV/0!</v>
      </c>
      <c r="AB33" s="254"/>
      <c r="AC33" s="160"/>
      <c r="AD33" s="161"/>
      <c r="AE33" s="253"/>
      <c r="AF33" s="80"/>
    </row>
    <row r="34" spans="1:41" ht="39" hidden="1" customHeight="1" x14ac:dyDescent="0.25">
      <c r="A34" s="134"/>
      <c r="B34" s="163"/>
      <c r="C34" s="196" t="s">
        <v>278</v>
      </c>
      <c r="D34" s="165" t="s">
        <v>46</v>
      </c>
      <c r="E34" s="133" t="s">
        <v>47</v>
      </c>
      <c r="F34" s="264" t="s">
        <v>89</v>
      </c>
      <c r="G34" s="236">
        <v>48</v>
      </c>
      <c r="H34" s="175">
        <v>455000</v>
      </c>
      <c r="I34" s="236">
        <v>0</v>
      </c>
      <c r="J34" s="175">
        <v>0</v>
      </c>
      <c r="K34" s="168">
        <v>20</v>
      </c>
      <c r="L34" s="169">
        <v>0</v>
      </c>
      <c r="M34" s="168">
        <v>0</v>
      </c>
      <c r="N34" s="169">
        <v>0</v>
      </c>
      <c r="O34" s="241"/>
      <c r="P34" s="168"/>
      <c r="Q34" s="169"/>
      <c r="R34" s="170"/>
      <c r="S34" s="171"/>
      <c r="T34" s="168"/>
      <c r="U34" s="135"/>
      <c r="V34" s="168"/>
      <c r="W34" s="241"/>
      <c r="X34" s="168">
        <f t="shared" si="1"/>
        <v>0</v>
      </c>
      <c r="Y34" s="169">
        <f t="shared" si="1"/>
        <v>0</v>
      </c>
      <c r="Z34" s="172" t="e">
        <f>X34/M34*100</f>
        <v>#DIV/0!</v>
      </c>
      <c r="AA34" s="190" t="e">
        <f t="shared" si="2"/>
        <v>#DIV/0!</v>
      </c>
      <c r="AB34" s="243">
        <f t="shared" ref="AB34:AB40" si="8">I34+X34</f>
        <v>0</v>
      </c>
      <c r="AC34" s="175">
        <f>Y34+J34</f>
        <v>0</v>
      </c>
      <c r="AD34" s="176">
        <f t="shared" ref="AD34:AE36" si="9">AB34/G34*100</f>
        <v>0</v>
      </c>
      <c r="AE34" s="177">
        <f t="shared" si="9"/>
        <v>0</v>
      </c>
      <c r="AF34" s="134"/>
    </row>
    <row r="35" spans="1:41" ht="39.75" hidden="1" customHeight="1" x14ac:dyDescent="0.25">
      <c r="A35" s="134"/>
      <c r="B35" s="163"/>
      <c r="C35" s="196" t="s">
        <v>279</v>
      </c>
      <c r="D35" s="165" t="s">
        <v>48</v>
      </c>
      <c r="E35" s="133" t="s">
        <v>49</v>
      </c>
      <c r="F35" s="264" t="s">
        <v>89</v>
      </c>
      <c r="G35" s="236">
        <v>60</v>
      </c>
      <c r="H35" s="175">
        <v>865750</v>
      </c>
      <c r="I35" s="236">
        <v>18</v>
      </c>
      <c r="J35" s="175">
        <f>0+143875+0+0</f>
        <v>143875</v>
      </c>
      <c r="K35" s="168">
        <v>19</v>
      </c>
      <c r="L35" s="169">
        <v>0</v>
      </c>
      <c r="M35" s="168">
        <v>0</v>
      </c>
      <c r="N35" s="169">
        <v>0</v>
      </c>
      <c r="O35" s="241"/>
      <c r="P35" s="168"/>
      <c r="Q35" s="169"/>
      <c r="R35" s="170"/>
      <c r="S35" s="171"/>
      <c r="T35" s="168"/>
      <c r="U35" s="241"/>
      <c r="V35" s="168"/>
      <c r="W35" s="241"/>
      <c r="X35" s="168">
        <f t="shared" si="1"/>
        <v>0</v>
      </c>
      <c r="Y35" s="169">
        <f t="shared" si="1"/>
        <v>0</v>
      </c>
      <c r="Z35" s="172" t="e">
        <f>X35/M35*100</f>
        <v>#DIV/0!</v>
      </c>
      <c r="AA35" s="190" t="e">
        <f t="shared" si="2"/>
        <v>#DIV/0!</v>
      </c>
      <c r="AB35" s="243">
        <f t="shared" si="8"/>
        <v>18</v>
      </c>
      <c r="AC35" s="175">
        <f>Y35+J35</f>
        <v>143875</v>
      </c>
      <c r="AD35" s="176">
        <f t="shared" si="9"/>
        <v>30</v>
      </c>
      <c r="AE35" s="177">
        <f t="shared" si="9"/>
        <v>16.618538839156802</v>
      </c>
      <c r="AF35" s="134"/>
    </row>
    <row r="36" spans="1:41" ht="49.5" hidden="1" customHeight="1" x14ac:dyDescent="0.25">
      <c r="A36" s="134"/>
      <c r="B36" s="163"/>
      <c r="C36" s="196" t="s">
        <v>280</v>
      </c>
      <c r="D36" s="165" t="s">
        <v>50</v>
      </c>
      <c r="E36" s="133" t="s">
        <v>51</v>
      </c>
      <c r="F36" s="264" t="s">
        <v>89</v>
      </c>
      <c r="G36" s="236">
        <v>60</v>
      </c>
      <c r="H36" s="175">
        <v>397500</v>
      </c>
      <c r="I36" s="236">
        <f>15+9+0+0</f>
        <v>24</v>
      </c>
      <c r="J36" s="175">
        <f>98280+51400+0+0</f>
        <v>149680</v>
      </c>
      <c r="K36" s="168">
        <v>8</v>
      </c>
      <c r="L36" s="169">
        <v>0</v>
      </c>
      <c r="M36" s="168">
        <v>0</v>
      </c>
      <c r="N36" s="169">
        <v>0</v>
      </c>
      <c r="O36" s="241"/>
      <c r="P36" s="168"/>
      <c r="Q36" s="169"/>
      <c r="R36" s="170"/>
      <c r="S36" s="171"/>
      <c r="T36" s="168"/>
      <c r="U36" s="241"/>
      <c r="V36" s="168"/>
      <c r="W36" s="241"/>
      <c r="X36" s="168">
        <f t="shared" si="1"/>
        <v>0</v>
      </c>
      <c r="Y36" s="169">
        <f t="shared" si="1"/>
        <v>0</v>
      </c>
      <c r="Z36" s="172" t="e">
        <f>X36/M36*100</f>
        <v>#DIV/0!</v>
      </c>
      <c r="AA36" s="190" t="e">
        <f t="shared" si="2"/>
        <v>#DIV/0!</v>
      </c>
      <c r="AB36" s="243">
        <f t="shared" si="8"/>
        <v>24</v>
      </c>
      <c r="AC36" s="175">
        <f>Y36+J36</f>
        <v>149680</v>
      </c>
      <c r="AD36" s="176">
        <f t="shared" si="9"/>
        <v>40</v>
      </c>
      <c r="AE36" s="177">
        <f t="shared" si="9"/>
        <v>37.655345911949681</v>
      </c>
      <c r="AF36" s="134"/>
    </row>
    <row r="37" spans="1:41" s="72" customFormat="1" ht="52.5" hidden="1" customHeight="1" x14ac:dyDescent="0.25">
      <c r="A37" s="80"/>
      <c r="B37" s="192" t="s">
        <v>281</v>
      </c>
      <c r="C37" s="193"/>
      <c r="D37" s="149" t="s">
        <v>52</v>
      </c>
      <c r="E37" s="79" t="s">
        <v>282</v>
      </c>
      <c r="F37" s="80" t="s">
        <v>277</v>
      </c>
      <c r="G37" s="251"/>
      <c r="H37" s="252"/>
      <c r="I37" s="251"/>
      <c r="J37" s="252"/>
      <c r="K37" s="157">
        <f t="shared" ref="K37:Q37" si="10">SUM(K38:K40)</f>
        <v>225</v>
      </c>
      <c r="L37" s="155">
        <f t="shared" si="10"/>
        <v>448606.22</v>
      </c>
      <c r="M37" s="157">
        <f t="shared" si="10"/>
        <v>225</v>
      </c>
      <c r="N37" s="155">
        <f t="shared" si="10"/>
        <v>349133</v>
      </c>
      <c r="O37" s="155">
        <f t="shared" si="10"/>
        <v>390733</v>
      </c>
      <c r="P37" s="157">
        <f t="shared" si="10"/>
        <v>72</v>
      </c>
      <c r="Q37" s="155">
        <f t="shared" si="10"/>
        <v>37742.5</v>
      </c>
      <c r="R37" s="157">
        <v>40</v>
      </c>
      <c r="S37" s="155">
        <f>SUM(S38:S40)</f>
        <v>70489</v>
      </c>
      <c r="T37" s="157"/>
      <c r="U37" s="87"/>
      <c r="V37" s="87"/>
      <c r="W37" s="87"/>
      <c r="X37" s="157">
        <f>SUM(X38:X40)</f>
        <v>112</v>
      </c>
      <c r="Y37" s="155">
        <f>SUM(Y38:Y40)</f>
        <v>108231.5</v>
      </c>
      <c r="Z37" s="227">
        <f>SUM(Z38:Z40)</f>
        <v>164.40030557677616</v>
      </c>
      <c r="AA37" s="158">
        <f t="shared" si="2"/>
        <v>31.000077334425562</v>
      </c>
      <c r="AB37" s="265">
        <f t="shared" si="8"/>
        <v>112</v>
      </c>
      <c r="AC37" s="266"/>
      <c r="AD37" s="267"/>
      <c r="AE37" s="268"/>
      <c r="AF37" s="80"/>
    </row>
    <row r="38" spans="1:41" ht="76.5" hidden="1" customHeight="1" x14ac:dyDescent="0.25">
      <c r="A38" s="134">
        <v>10</v>
      </c>
      <c r="B38" s="163" t="s">
        <v>192</v>
      </c>
      <c r="C38" s="196" t="s">
        <v>283</v>
      </c>
      <c r="D38" s="165" t="s">
        <v>53</v>
      </c>
      <c r="E38" s="133" t="s">
        <v>284</v>
      </c>
      <c r="F38" s="264" t="s">
        <v>89</v>
      </c>
      <c r="G38" s="236">
        <v>60</v>
      </c>
      <c r="H38" s="175">
        <v>797500</v>
      </c>
      <c r="I38" s="236">
        <v>48</v>
      </c>
      <c r="J38" s="175">
        <f>173586+140975+196861+166202.989</f>
        <v>677624.98900000006</v>
      </c>
      <c r="K38" s="168">
        <v>22</v>
      </c>
      <c r="L38" s="169">
        <v>199340.22</v>
      </c>
      <c r="M38" s="168">
        <v>22</v>
      </c>
      <c r="N38" s="169">
        <v>149510</v>
      </c>
      <c r="O38" s="169">
        <v>184510</v>
      </c>
      <c r="P38" s="168">
        <f>0+2+3</f>
        <v>5</v>
      </c>
      <c r="Q38" s="169">
        <v>31742.5</v>
      </c>
      <c r="R38" s="170">
        <v>10</v>
      </c>
      <c r="S38" s="171">
        <f>79167.5-Q38</f>
        <v>47425</v>
      </c>
      <c r="T38" s="168"/>
      <c r="U38" s="173"/>
      <c r="V38" s="168"/>
      <c r="W38" s="169"/>
      <c r="X38" s="168">
        <f t="shared" ref="X38:Y40" si="11">P38+R38+T38+V38</f>
        <v>15</v>
      </c>
      <c r="Y38" s="171">
        <f>Q38+S38+U38+W38</f>
        <v>79167.5</v>
      </c>
      <c r="Z38" s="172">
        <f>X38/M38*100</f>
        <v>68.181818181818173</v>
      </c>
      <c r="AA38" s="173">
        <f t="shared" si="2"/>
        <v>52.951307604842491</v>
      </c>
      <c r="AB38" s="243">
        <f t="shared" si="8"/>
        <v>63</v>
      </c>
      <c r="AC38" s="175">
        <f t="shared" ref="AC38:AC43" si="12">Y38+J38</f>
        <v>756792.48900000006</v>
      </c>
      <c r="AD38" s="176">
        <f>AB38/G38*100</f>
        <v>105</v>
      </c>
      <c r="AE38" s="175">
        <f>AC38/H38*100</f>
        <v>94.895609905956121</v>
      </c>
      <c r="AF38" s="134"/>
      <c r="AO38" s="34">
        <f>145/6</f>
        <v>24.166666666666668</v>
      </c>
    </row>
    <row r="39" spans="1:41" ht="50.25" hidden="1" customHeight="1" x14ac:dyDescent="0.25">
      <c r="A39" s="134">
        <v>11</v>
      </c>
      <c r="B39" s="163" t="s">
        <v>193</v>
      </c>
      <c r="C39" s="196" t="s">
        <v>285</v>
      </c>
      <c r="D39" s="165" t="s">
        <v>54</v>
      </c>
      <c r="E39" s="133" t="s">
        <v>286</v>
      </c>
      <c r="F39" s="264" t="s">
        <v>287</v>
      </c>
      <c r="G39" s="236">
        <v>60</v>
      </c>
      <c r="H39" s="175">
        <v>825000</v>
      </c>
      <c r="I39" s="236">
        <v>48</v>
      </c>
      <c r="J39" s="175">
        <f>0+147510+57940+64578</f>
        <v>270028</v>
      </c>
      <c r="K39" s="168">
        <v>84</v>
      </c>
      <c r="L39" s="169">
        <v>198570</v>
      </c>
      <c r="M39" s="168">
        <v>84</v>
      </c>
      <c r="N39" s="169">
        <v>148927</v>
      </c>
      <c r="O39" s="169">
        <v>148927</v>
      </c>
      <c r="P39" s="168">
        <f>0+32+10</f>
        <v>42</v>
      </c>
      <c r="Q39" s="169">
        <v>0</v>
      </c>
      <c r="R39" s="170">
        <v>0</v>
      </c>
      <c r="S39" s="171">
        <v>0</v>
      </c>
      <c r="T39" s="168"/>
      <c r="U39" s="241"/>
      <c r="V39" s="168"/>
      <c r="W39" s="241"/>
      <c r="X39" s="168">
        <f t="shared" si="11"/>
        <v>42</v>
      </c>
      <c r="Y39" s="171">
        <f t="shared" si="11"/>
        <v>0</v>
      </c>
      <c r="Z39" s="172">
        <f>X39/M39*100</f>
        <v>50</v>
      </c>
      <c r="AA39" s="173">
        <f t="shared" si="2"/>
        <v>0</v>
      </c>
      <c r="AB39" s="243">
        <f t="shared" si="8"/>
        <v>90</v>
      </c>
      <c r="AC39" s="175">
        <f t="shared" si="12"/>
        <v>270028</v>
      </c>
      <c r="AD39" s="176">
        <v>0</v>
      </c>
      <c r="AE39" s="177">
        <f>AC39/H39*100</f>
        <v>32.730666666666671</v>
      </c>
      <c r="AF39" s="134"/>
      <c r="AO39" s="34">
        <f>234/12</f>
        <v>19.5</v>
      </c>
    </row>
    <row r="40" spans="1:41" ht="66" hidden="1" customHeight="1" x14ac:dyDescent="0.25">
      <c r="A40" s="134">
        <v>12</v>
      </c>
      <c r="B40" s="163" t="s">
        <v>194</v>
      </c>
      <c r="C40" s="196" t="s">
        <v>288</v>
      </c>
      <c r="D40" s="165" t="s">
        <v>55</v>
      </c>
      <c r="E40" s="133" t="s">
        <v>289</v>
      </c>
      <c r="F40" s="264" t="s">
        <v>89</v>
      </c>
      <c r="G40" s="236">
        <v>60</v>
      </c>
      <c r="H40" s="175">
        <v>230000</v>
      </c>
      <c r="I40" s="236">
        <v>48</v>
      </c>
      <c r="J40" s="175">
        <f>0+29650+30450+15505</f>
        <v>75605</v>
      </c>
      <c r="K40" s="168">
        <v>119</v>
      </c>
      <c r="L40" s="169">
        <v>50696</v>
      </c>
      <c r="M40" s="168">
        <v>119</v>
      </c>
      <c r="N40" s="169">
        <v>50696</v>
      </c>
      <c r="O40" s="169">
        <v>57296</v>
      </c>
      <c r="P40" s="241">
        <f>0+15+10</f>
        <v>25</v>
      </c>
      <c r="Q40" s="169">
        <v>6000</v>
      </c>
      <c r="R40" s="170">
        <v>30</v>
      </c>
      <c r="S40" s="171">
        <v>23064</v>
      </c>
      <c r="T40" s="168"/>
      <c r="U40" s="241"/>
      <c r="V40" s="168"/>
      <c r="W40" s="241"/>
      <c r="X40" s="168">
        <f t="shared" si="11"/>
        <v>55</v>
      </c>
      <c r="Y40" s="171">
        <f t="shared" si="11"/>
        <v>29064</v>
      </c>
      <c r="Z40" s="172">
        <f>X40/M40*100</f>
        <v>46.218487394957982</v>
      </c>
      <c r="AA40" s="173">
        <f t="shared" si="2"/>
        <v>57.329966861290828</v>
      </c>
      <c r="AB40" s="243">
        <f t="shared" si="8"/>
        <v>103</v>
      </c>
      <c r="AC40" s="175">
        <f t="shared" si="12"/>
        <v>104669</v>
      </c>
      <c r="AD40" s="176">
        <f>AB40/G40*100</f>
        <v>171.66666666666666</v>
      </c>
      <c r="AE40" s="177">
        <f>AC40/H40*100</f>
        <v>45.508260869565213</v>
      </c>
      <c r="AF40" s="134"/>
    </row>
    <row r="41" spans="1:41" s="72" customFormat="1" ht="65.25" hidden="1" customHeight="1" x14ac:dyDescent="0.25">
      <c r="A41" s="50" t="s">
        <v>6</v>
      </c>
      <c r="B41" s="257">
        <v>4.5856481481481477E-2</v>
      </c>
      <c r="C41" s="211" t="s">
        <v>290</v>
      </c>
      <c r="D41" s="53" t="s">
        <v>56</v>
      </c>
      <c r="E41" s="54" t="s">
        <v>57</v>
      </c>
      <c r="F41" s="55" t="s">
        <v>15</v>
      </c>
      <c r="G41" s="56">
        <v>100</v>
      </c>
      <c r="H41" s="142">
        <f>1867500+250000+605000+335000+340000+420000+135000+50000</f>
        <v>4002500</v>
      </c>
      <c r="I41" s="269">
        <f>'[1]TW IV FIX'!$AB$40</f>
        <v>100</v>
      </c>
      <c r="J41" s="142">
        <f>'[1]TW IV FIX'!$AC$40</f>
        <v>3401014.8</v>
      </c>
      <c r="K41" s="56">
        <v>100</v>
      </c>
      <c r="L41" s="57">
        <f>L44-L42-L43</f>
        <v>1195962</v>
      </c>
      <c r="M41" s="56">
        <v>100</v>
      </c>
      <c r="N41" s="142">
        <f>N44-N42-N43</f>
        <v>1190037</v>
      </c>
      <c r="O41" s="142">
        <f>O44-O42-O43</f>
        <v>1039654.9000000001</v>
      </c>
      <c r="P41" s="141">
        <v>25</v>
      </c>
      <c r="Q41" s="142">
        <f xml:space="preserve"> Q45+Q46+Q52+Q59</f>
        <v>82087.399999999994</v>
      </c>
      <c r="R41" s="260">
        <v>25</v>
      </c>
      <c r="S41" s="142">
        <f xml:space="preserve"> S45+S46+S52+S59-S42</f>
        <v>161975.538</v>
      </c>
      <c r="T41" s="141"/>
      <c r="U41" s="260"/>
      <c r="V41" s="260"/>
      <c r="W41" s="260"/>
      <c r="X41" s="141">
        <f t="shared" si="1"/>
        <v>50</v>
      </c>
      <c r="Y41" s="142">
        <f>Q41+S41+U41+W41</f>
        <v>244062.93799999999</v>
      </c>
      <c r="Z41" s="271">
        <f>X41/M41*100</f>
        <v>50</v>
      </c>
      <c r="AA41" s="60">
        <f t="shared" si="2"/>
        <v>20.508852918018512</v>
      </c>
      <c r="AB41" s="271">
        <v>100</v>
      </c>
      <c r="AC41" s="142">
        <f t="shared" si="12"/>
        <v>3645077.7379999999</v>
      </c>
      <c r="AD41" s="619">
        <f>AB41/G41*100</f>
        <v>100</v>
      </c>
      <c r="AE41" s="271">
        <f>AC41/H41*100</f>
        <v>91.070024684572132</v>
      </c>
      <c r="AF41" s="55"/>
    </row>
    <row r="42" spans="1:41" s="72" customFormat="1" ht="65.25" hidden="1" customHeight="1" x14ac:dyDescent="0.25">
      <c r="A42" s="50"/>
      <c r="B42" s="272"/>
      <c r="C42" s="211"/>
      <c r="D42" s="53"/>
      <c r="E42" s="54" t="s">
        <v>58</v>
      </c>
      <c r="F42" s="55" t="s">
        <v>15</v>
      </c>
      <c r="G42" s="56">
        <v>100</v>
      </c>
      <c r="H42" s="142">
        <v>550000</v>
      </c>
      <c r="I42" s="269">
        <v>100</v>
      </c>
      <c r="J42" s="142">
        <f>'[1]TW IV FIX'!$AC$41</f>
        <v>283281.7</v>
      </c>
      <c r="K42" s="56">
        <v>70.37</v>
      </c>
      <c r="L42" s="57">
        <f>N42</f>
        <v>110000</v>
      </c>
      <c r="M42" s="56">
        <v>100</v>
      </c>
      <c r="N42" s="142">
        <f>N52</f>
        <v>110000</v>
      </c>
      <c r="O42" s="270">
        <f>O52</f>
        <v>110000</v>
      </c>
      <c r="P42" s="141">
        <v>100</v>
      </c>
      <c r="Q42" s="142">
        <v>0</v>
      </c>
      <c r="R42" s="260">
        <v>0</v>
      </c>
      <c r="S42" s="142">
        <v>110000</v>
      </c>
      <c r="T42" s="141"/>
      <c r="U42" s="260"/>
      <c r="V42" s="260"/>
      <c r="W42" s="260"/>
      <c r="X42" s="141">
        <f t="shared" si="1"/>
        <v>100</v>
      </c>
      <c r="Y42" s="142">
        <f t="shared" si="1"/>
        <v>110000</v>
      </c>
      <c r="Z42" s="271">
        <v>133.29</v>
      </c>
      <c r="AA42" s="60">
        <f t="shared" si="2"/>
        <v>100</v>
      </c>
      <c r="AB42" s="271">
        <v>100</v>
      </c>
      <c r="AC42" s="142">
        <f t="shared" si="12"/>
        <v>393281.7</v>
      </c>
      <c r="AD42" s="619">
        <f>+AB42</f>
        <v>100</v>
      </c>
      <c r="AE42" s="271">
        <f>AC42/H42*100</f>
        <v>71.505763636363639</v>
      </c>
      <c r="AF42" s="55"/>
    </row>
    <row r="43" spans="1:41" s="72" customFormat="1" ht="65.25" hidden="1" customHeight="1" x14ac:dyDescent="0.25">
      <c r="A43" s="50"/>
      <c r="B43" s="272"/>
      <c r="C43" s="211"/>
      <c r="D43" s="53"/>
      <c r="E43" s="54" t="s">
        <v>59</v>
      </c>
      <c r="F43" s="55" t="s">
        <v>15</v>
      </c>
      <c r="G43" s="56">
        <v>2.23</v>
      </c>
      <c r="H43" s="142">
        <v>887500</v>
      </c>
      <c r="I43" s="271">
        <f>'[1]TW IV FIX'!$AB$42</f>
        <v>1.5940000000000001</v>
      </c>
      <c r="J43" s="142">
        <f>'[1]TW IV FIX'!$AC$42</f>
        <v>1842129.5</v>
      </c>
      <c r="K43" s="56">
        <v>1.96</v>
      </c>
      <c r="L43" s="57">
        <v>0</v>
      </c>
      <c r="M43" s="56">
        <v>2.23</v>
      </c>
      <c r="N43" s="142">
        <f>N50</f>
        <v>0</v>
      </c>
      <c r="O43" s="270">
        <f>O48+O49</f>
        <v>398153.5</v>
      </c>
      <c r="P43" s="141">
        <v>1.59</v>
      </c>
      <c r="Q43" s="142">
        <v>0</v>
      </c>
      <c r="R43" s="260">
        <v>0</v>
      </c>
      <c r="S43" s="142">
        <v>0</v>
      </c>
      <c r="T43" s="141"/>
      <c r="U43" s="260"/>
      <c r="V43" s="270"/>
      <c r="W43" s="260"/>
      <c r="X43" s="271">
        <f t="shared" si="1"/>
        <v>1.59</v>
      </c>
      <c r="Y43" s="142">
        <f t="shared" si="1"/>
        <v>0</v>
      </c>
      <c r="Z43" s="271">
        <f>X43/M43*100</f>
        <v>71.300448430493276</v>
      </c>
      <c r="AA43" s="60" t="e">
        <f t="shared" si="2"/>
        <v>#DIV/0!</v>
      </c>
      <c r="AB43" s="271">
        <f>+X43</f>
        <v>1.59</v>
      </c>
      <c r="AC43" s="142">
        <f t="shared" si="12"/>
        <v>1842129.5</v>
      </c>
      <c r="AD43" s="619">
        <f>AB43/G43*100</f>
        <v>71.300448430493276</v>
      </c>
      <c r="AE43" s="271">
        <f>AC43/H43*100</f>
        <v>207.56388732394365</v>
      </c>
      <c r="AF43" s="55"/>
    </row>
    <row r="44" spans="1:41" s="72" customFormat="1" ht="49.5" hidden="1" customHeight="1" x14ac:dyDescent="0.25">
      <c r="A44" s="80"/>
      <c r="B44" s="192" t="s">
        <v>291</v>
      </c>
      <c r="C44" s="193"/>
      <c r="D44" s="149" t="s">
        <v>61</v>
      </c>
      <c r="E44" s="79" t="s">
        <v>292</v>
      </c>
      <c r="F44" s="80" t="s">
        <v>256</v>
      </c>
      <c r="G44" s="251"/>
      <c r="H44" s="252"/>
      <c r="I44" s="251"/>
      <c r="J44" s="252"/>
      <c r="K44" s="154">
        <f>SUM(K45:K50)</f>
        <v>1451</v>
      </c>
      <c r="L44" s="155">
        <f t="shared" ref="L44:Q44" si="13">SUM(L45:L59)</f>
        <v>1305962</v>
      </c>
      <c r="M44" s="154">
        <f t="shared" si="13"/>
        <v>1751</v>
      </c>
      <c r="N44" s="155">
        <f>SUM(N45:N59)</f>
        <v>1300037</v>
      </c>
      <c r="O44" s="155">
        <f>SUM(O45:O59)</f>
        <v>1547808.4000000001</v>
      </c>
      <c r="P44" s="154">
        <f t="shared" si="13"/>
        <v>40</v>
      </c>
      <c r="Q44" s="155">
        <f t="shared" si="13"/>
        <v>82087.399999999994</v>
      </c>
      <c r="R44" s="154">
        <f>24+250+150</f>
        <v>424</v>
      </c>
      <c r="S44" s="155">
        <f>SUM(S45:S59)</f>
        <v>272538.13799999998</v>
      </c>
      <c r="T44" s="154"/>
      <c r="U44" s="227"/>
      <c r="V44" s="154"/>
      <c r="W44" s="157"/>
      <c r="X44" s="154">
        <f>P44+R44+T44+V44-24</f>
        <v>440</v>
      </c>
      <c r="Y44" s="155">
        <f>SUM(Y45:Y59)</f>
        <v>354625.538</v>
      </c>
      <c r="Z44" s="273">
        <f>X44/M44*100</f>
        <v>25.128498001142201</v>
      </c>
      <c r="AA44" s="158">
        <f t="shared" si="2"/>
        <v>27.278111161451555</v>
      </c>
      <c r="AB44" s="274"/>
      <c r="AC44" s="266"/>
      <c r="AD44" s="275"/>
      <c r="AE44" s="268"/>
      <c r="AF44" s="80"/>
      <c r="AG44" s="72">
        <f>250+24+462+650+250+(12*25)+50+60</f>
        <v>2046</v>
      </c>
      <c r="AO44" s="72">
        <f>M45+M46+M48+M49+M54+M55+M56</f>
        <v>1736</v>
      </c>
    </row>
    <row r="45" spans="1:41" ht="60" hidden="1" customHeight="1" x14ac:dyDescent="0.25">
      <c r="A45" s="134">
        <v>13</v>
      </c>
      <c r="B45" s="163" t="s">
        <v>195</v>
      </c>
      <c r="C45" s="196" t="s">
        <v>293</v>
      </c>
      <c r="D45" s="165" t="s">
        <v>62</v>
      </c>
      <c r="E45" s="133" t="s">
        <v>63</v>
      </c>
      <c r="F45" s="134" t="s">
        <v>33</v>
      </c>
      <c r="G45" s="236">
        <v>3000</v>
      </c>
      <c r="H45" s="175">
        <v>250000</v>
      </c>
      <c r="I45" s="236" t="s">
        <v>64</v>
      </c>
      <c r="J45" s="175">
        <f>50000+18500+0</f>
        <v>68500</v>
      </c>
      <c r="K45" s="168">
        <v>250</v>
      </c>
      <c r="L45" s="169">
        <v>30000</v>
      </c>
      <c r="M45" s="168">
        <v>250</v>
      </c>
      <c r="N45" s="169">
        <v>30000</v>
      </c>
      <c r="O45" s="625">
        <v>30000</v>
      </c>
      <c r="P45" s="168">
        <v>0</v>
      </c>
      <c r="Q45" s="169">
        <v>0</v>
      </c>
      <c r="R45" s="170">
        <v>0</v>
      </c>
      <c r="S45" s="171">
        <v>0</v>
      </c>
      <c r="T45" s="168"/>
      <c r="U45" s="241"/>
      <c r="V45" s="168"/>
      <c r="W45" s="241"/>
      <c r="X45" s="168">
        <f t="shared" si="1"/>
        <v>0</v>
      </c>
      <c r="Y45" s="169">
        <f t="shared" si="1"/>
        <v>0</v>
      </c>
      <c r="Z45" s="172">
        <f>X45/M45*100</f>
        <v>0</v>
      </c>
      <c r="AA45" s="173">
        <f t="shared" si="2"/>
        <v>0</v>
      </c>
      <c r="AB45" s="243" t="e">
        <f>I45+X45</f>
        <v>#VALUE!</v>
      </c>
      <c r="AC45" s="175">
        <f>Y45+J45</f>
        <v>68500</v>
      </c>
      <c r="AD45" s="176" t="e">
        <f>AB45/G45*100</f>
        <v>#VALUE!</v>
      </c>
      <c r="AE45" s="177">
        <f>AC45/H45*100</f>
        <v>27.400000000000002</v>
      </c>
      <c r="AF45" s="134"/>
      <c r="AG45" s="34" t="s">
        <v>60</v>
      </c>
    </row>
    <row r="46" spans="1:41" ht="64.5" hidden="1" customHeight="1" x14ac:dyDescent="0.25">
      <c r="A46" s="134">
        <v>14</v>
      </c>
      <c r="B46" s="163" t="s">
        <v>196</v>
      </c>
      <c r="C46" s="196" t="s">
        <v>294</v>
      </c>
      <c r="D46" s="165" t="s">
        <v>65</v>
      </c>
      <c r="E46" s="133" t="s">
        <v>66</v>
      </c>
      <c r="F46" s="264" t="s">
        <v>33</v>
      </c>
      <c r="G46" s="236">
        <v>60</v>
      </c>
      <c r="H46" s="175">
        <v>1867500</v>
      </c>
      <c r="I46" s="236">
        <f>12+11+12+12</f>
        <v>47</v>
      </c>
      <c r="J46" s="175">
        <f>375843+359400+390000+375920</f>
        <v>1501163</v>
      </c>
      <c r="K46" s="168">
        <v>24</v>
      </c>
      <c r="L46" s="169">
        <v>406049.9</v>
      </c>
      <c r="M46" s="168">
        <v>24</v>
      </c>
      <c r="N46" s="169">
        <v>402224.9</v>
      </c>
      <c r="O46" s="625">
        <v>402224.9</v>
      </c>
      <c r="P46" s="276">
        <v>24</v>
      </c>
      <c r="Q46" s="169">
        <v>66293.899999999994</v>
      </c>
      <c r="R46" s="170">
        <v>24</v>
      </c>
      <c r="S46" s="171">
        <f>128693.9-Q46</f>
        <v>62400</v>
      </c>
      <c r="T46" s="168"/>
      <c r="U46" s="241"/>
      <c r="V46" s="168"/>
      <c r="W46" s="241"/>
      <c r="X46" s="168">
        <v>24</v>
      </c>
      <c r="Y46" s="169">
        <f t="shared" si="1"/>
        <v>128693.9</v>
      </c>
      <c r="Z46" s="172">
        <f>X46/M46*100</f>
        <v>100</v>
      </c>
      <c r="AA46" s="173">
        <f t="shared" si="2"/>
        <v>31.995507985706499</v>
      </c>
      <c r="AB46" s="243">
        <f>I46+X46</f>
        <v>71</v>
      </c>
      <c r="AC46" s="175">
        <f>Y46+J46</f>
        <v>1629856.9</v>
      </c>
      <c r="AD46" s="176">
        <f>AB46/G46*100</f>
        <v>118.33333333333333</v>
      </c>
      <c r="AE46" s="177">
        <f>AC46/H46*100</f>
        <v>87.274800535475222</v>
      </c>
      <c r="AF46" s="134"/>
    </row>
    <row r="47" spans="1:41" ht="73.5" hidden="1" customHeight="1" x14ac:dyDescent="0.25">
      <c r="A47" s="93"/>
      <c r="B47" s="277"/>
      <c r="C47" s="202" t="s">
        <v>295</v>
      </c>
      <c r="D47" s="278"/>
      <c r="E47" s="97"/>
      <c r="F47" s="134"/>
      <c r="G47" s="279"/>
      <c r="H47" s="280"/>
      <c r="I47" s="281"/>
      <c r="J47" s="280"/>
      <c r="K47" s="282"/>
      <c r="L47" s="280"/>
      <c r="M47" s="282"/>
      <c r="N47" s="283"/>
      <c r="O47" s="632"/>
      <c r="P47" s="279"/>
      <c r="Q47" s="280"/>
      <c r="R47" s="284"/>
      <c r="S47" s="285"/>
      <c r="T47" s="279"/>
      <c r="U47" s="281"/>
      <c r="V47" s="279"/>
      <c r="W47" s="281"/>
      <c r="X47" s="279"/>
      <c r="Y47" s="103">
        <f t="shared" si="1"/>
        <v>0</v>
      </c>
      <c r="Z47" s="286"/>
      <c r="AA47" s="109" t="e">
        <f t="shared" si="2"/>
        <v>#DIV/0!</v>
      </c>
      <c r="AB47" s="287"/>
      <c r="AC47" s="280"/>
      <c r="AD47" s="288"/>
      <c r="AE47" s="289"/>
      <c r="AF47" s="290"/>
    </row>
    <row r="48" spans="1:41" ht="63" hidden="1" customHeight="1" x14ac:dyDescent="0.25">
      <c r="A48" s="291">
        <v>15</v>
      </c>
      <c r="B48" s="292" t="s">
        <v>197</v>
      </c>
      <c r="C48" s="293" t="s">
        <v>296</v>
      </c>
      <c r="D48" s="197" t="s">
        <v>67</v>
      </c>
      <c r="E48" s="97" t="s">
        <v>68</v>
      </c>
      <c r="F48" s="98" t="s">
        <v>33</v>
      </c>
      <c r="G48" s="99">
        <v>1561</v>
      </c>
      <c r="H48" s="100">
        <v>935000</v>
      </c>
      <c r="I48" s="99">
        <f>12+3+247+1250</f>
        <v>1512</v>
      </c>
      <c r="J48" s="100">
        <f>614674+95806+119696+467421.58</f>
        <v>1297597.58</v>
      </c>
      <c r="K48" s="294">
        <v>462</v>
      </c>
      <c r="L48" s="103">
        <v>436555</v>
      </c>
      <c r="M48" s="294">
        <v>462</v>
      </c>
      <c r="N48" s="295">
        <v>296555</v>
      </c>
      <c r="O48" s="627">
        <v>296555</v>
      </c>
      <c r="P48" s="101">
        <v>0</v>
      </c>
      <c r="Q48" s="634">
        <v>0</v>
      </c>
      <c r="R48" s="105">
        <v>0</v>
      </c>
      <c r="S48" s="106">
        <v>562.6</v>
      </c>
      <c r="T48" s="101"/>
      <c r="U48" s="296"/>
      <c r="V48" s="101"/>
      <c r="W48" s="296"/>
      <c r="X48" s="205">
        <f t="shared" si="1"/>
        <v>0</v>
      </c>
      <c r="Y48" s="103">
        <f t="shared" si="1"/>
        <v>562.6</v>
      </c>
      <c r="Z48" s="329">
        <f>X48/M48*100</f>
        <v>0</v>
      </c>
      <c r="AA48" s="109">
        <f t="shared" si="2"/>
        <v>0.18971185783412858</v>
      </c>
      <c r="AB48" s="110">
        <f>I48+X48</f>
        <v>1512</v>
      </c>
      <c r="AC48" s="297">
        <f>Y48+J48</f>
        <v>1298160.1800000002</v>
      </c>
      <c r="AD48" s="111">
        <f t="shared" ref="AD48:AE50" si="14">AB48/G48*100</f>
        <v>96.860986547085204</v>
      </c>
      <c r="AE48" s="112">
        <f t="shared" si="14"/>
        <v>138.84066096256686</v>
      </c>
      <c r="AF48" s="298"/>
    </row>
    <row r="49" spans="1:41" ht="36.75" hidden="1" customHeight="1" x14ac:dyDescent="0.25">
      <c r="A49" s="291"/>
      <c r="B49" s="299"/>
      <c r="C49" s="293" t="s">
        <v>297</v>
      </c>
      <c r="D49" s="300"/>
      <c r="E49" s="97" t="s">
        <v>69</v>
      </c>
      <c r="F49" s="98" t="s">
        <v>33</v>
      </c>
      <c r="G49" s="301">
        <v>332</v>
      </c>
      <c r="H49" s="302">
        <v>895000</v>
      </c>
      <c r="I49" s="301">
        <f>0+10+200+0</f>
        <v>210</v>
      </c>
      <c r="J49" s="302">
        <f>69896+70584+0</f>
        <v>140480</v>
      </c>
      <c r="K49" s="294">
        <v>650</v>
      </c>
      <c r="L49" s="303"/>
      <c r="M49" s="294">
        <v>650</v>
      </c>
      <c r="N49" s="295">
        <v>140000</v>
      </c>
      <c r="O49" s="627">
        <v>101598.5</v>
      </c>
      <c r="P49" s="119">
        <v>0</v>
      </c>
      <c r="Q49" s="635"/>
      <c r="R49" s="305">
        <v>0</v>
      </c>
      <c r="S49" s="306"/>
      <c r="T49" s="304"/>
      <c r="U49" s="307"/>
      <c r="V49" s="304"/>
      <c r="W49" s="307"/>
      <c r="X49" s="638">
        <f t="shared" si="1"/>
        <v>0</v>
      </c>
      <c r="Y49" s="118">
        <f t="shared" si="1"/>
        <v>0</v>
      </c>
      <c r="Z49" s="345">
        <f>X49/M49*100</f>
        <v>0</v>
      </c>
      <c r="AA49" s="309"/>
      <c r="AB49" s="310">
        <f>I49+X49</f>
        <v>210</v>
      </c>
      <c r="AC49" s="311">
        <f>Y49+J49</f>
        <v>140480</v>
      </c>
      <c r="AD49" s="301">
        <f t="shared" si="14"/>
        <v>63.253012048192772</v>
      </c>
      <c r="AE49" s="312">
        <f t="shared" si="14"/>
        <v>15.69608938547486</v>
      </c>
      <c r="AF49" s="313"/>
      <c r="AG49" s="34" t="s">
        <v>60</v>
      </c>
    </row>
    <row r="50" spans="1:41" ht="74.25" hidden="1" customHeight="1" x14ac:dyDescent="0.25">
      <c r="A50" s="291"/>
      <c r="B50" s="130"/>
      <c r="C50" s="314" t="s">
        <v>298</v>
      </c>
      <c r="D50" s="300"/>
      <c r="E50" s="315" t="s">
        <v>70</v>
      </c>
      <c r="F50" s="316" t="s">
        <v>33</v>
      </c>
      <c r="G50" s="301">
        <v>130</v>
      </c>
      <c r="H50" s="302">
        <v>295000</v>
      </c>
      <c r="I50" s="301">
        <f>20+35+30+20</f>
        <v>105</v>
      </c>
      <c r="J50" s="302">
        <f>24510+42530+16750+7478.5</f>
        <v>91268.5</v>
      </c>
      <c r="K50" s="317">
        <v>65</v>
      </c>
      <c r="L50" s="303"/>
      <c r="M50" s="317">
        <v>0</v>
      </c>
      <c r="N50" s="318">
        <v>0</v>
      </c>
      <c r="O50" s="633"/>
      <c r="P50" s="304">
        <v>0</v>
      </c>
      <c r="Q50" s="303"/>
      <c r="R50" s="305">
        <v>0</v>
      </c>
      <c r="S50" s="306"/>
      <c r="T50" s="304"/>
      <c r="U50" s="307"/>
      <c r="V50" s="304"/>
      <c r="W50" s="307"/>
      <c r="X50" s="305">
        <f t="shared" si="1"/>
        <v>0</v>
      </c>
      <c r="Y50" s="118">
        <f t="shared" si="1"/>
        <v>0</v>
      </c>
      <c r="Z50" s="308" t="e">
        <f>X50/M50*100</f>
        <v>#DIV/0!</v>
      </c>
      <c r="AA50" s="129" t="e">
        <f>Y50/N50*100</f>
        <v>#DIV/0!</v>
      </c>
      <c r="AB50" s="310">
        <f>I50+X50</f>
        <v>105</v>
      </c>
      <c r="AC50" s="311">
        <f>Y50+J50</f>
        <v>91268.5</v>
      </c>
      <c r="AD50" s="301">
        <f t="shared" si="14"/>
        <v>80.769230769230774</v>
      </c>
      <c r="AE50" s="312">
        <f t="shared" si="14"/>
        <v>30.938474576271187</v>
      </c>
      <c r="AF50" s="313"/>
    </row>
    <row r="51" spans="1:41" ht="33.75" hidden="1" customHeight="1" x14ac:dyDescent="0.25">
      <c r="A51" s="93"/>
      <c r="B51" s="319"/>
      <c r="C51" s="320" t="s">
        <v>299</v>
      </c>
      <c r="D51" s="203"/>
      <c r="E51" s="321"/>
      <c r="F51" s="322"/>
      <c r="G51" s="99"/>
      <c r="H51" s="100"/>
      <c r="I51" s="99"/>
      <c r="J51" s="100"/>
      <c r="K51" s="317"/>
      <c r="L51" s="318"/>
      <c r="M51" s="101"/>
      <c r="N51" s="323"/>
      <c r="O51" s="631"/>
      <c r="P51" s="101"/>
      <c r="Q51" s="103"/>
      <c r="R51" s="105"/>
      <c r="S51" s="106"/>
      <c r="T51" s="101"/>
      <c r="U51" s="107"/>
      <c r="V51" s="101"/>
      <c r="W51" s="107"/>
      <c r="X51" s="101"/>
      <c r="Y51" s="302">
        <f t="shared" si="1"/>
        <v>0</v>
      </c>
      <c r="Z51" s="324"/>
      <c r="AA51" s="325" t="e">
        <f>Y51/N51*100</f>
        <v>#DIV/0!</v>
      </c>
      <c r="AB51" s="326"/>
      <c r="AC51" s="100"/>
      <c r="AD51" s="99"/>
      <c r="AE51" s="112"/>
      <c r="AF51" s="93"/>
    </row>
    <row r="52" spans="1:41" ht="73.5" hidden="1" customHeight="1" x14ac:dyDescent="0.25">
      <c r="A52" s="316">
        <v>16</v>
      </c>
      <c r="B52" s="292" t="s">
        <v>198</v>
      </c>
      <c r="C52" s="327" t="s">
        <v>300</v>
      </c>
      <c r="D52" s="197" t="s">
        <v>71</v>
      </c>
      <c r="E52" s="328" t="s">
        <v>72</v>
      </c>
      <c r="F52" s="134" t="s">
        <v>73</v>
      </c>
      <c r="G52" s="99">
        <v>44</v>
      </c>
      <c r="H52" s="100">
        <v>550000</v>
      </c>
      <c r="I52" s="99">
        <f>0+8+5+13</f>
        <v>26</v>
      </c>
      <c r="J52" s="100">
        <f>48917+49500+74964.7</f>
        <v>173381.7</v>
      </c>
      <c r="K52" s="294">
        <v>12</v>
      </c>
      <c r="L52" s="318">
        <v>383357.1</v>
      </c>
      <c r="M52" s="168">
        <v>12</v>
      </c>
      <c r="N52" s="169">
        <v>110000</v>
      </c>
      <c r="O52" s="628">
        <v>110000</v>
      </c>
      <c r="P52" s="101">
        <v>14</v>
      </c>
      <c r="Q52" s="103">
        <v>14402.7</v>
      </c>
      <c r="R52" s="105">
        <v>0</v>
      </c>
      <c r="S52" s="106">
        <f>207999.038-Q52</f>
        <v>193596.33799999999</v>
      </c>
      <c r="T52" s="101"/>
      <c r="U52" s="107"/>
      <c r="V52" s="101"/>
      <c r="W52" s="103"/>
      <c r="X52" s="205">
        <f t="shared" si="1"/>
        <v>14</v>
      </c>
      <c r="Y52" s="106">
        <f t="shared" si="1"/>
        <v>207999.038</v>
      </c>
      <c r="Z52" s="329">
        <f>X52/M52*100</f>
        <v>116.66666666666667</v>
      </c>
      <c r="AA52" s="109">
        <f>Y52/N52*100</f>
        <v>189.09003454545456</v>
      </c>
      <c r="AB52" s="326">
        <f>I52+X52</f>
        <v>40</v>
      </c>
      <c r="AC52" s="100">
        <f>Y52+J52</f>
        <v>381380.73800000001</v>
      </c>
      <c r="AD52" s="111">
        <f>AB52/G52*100</f>
        <v>90.909090909090907</v>
      </c>
      <c r="AE52" s="112">
        <f>AC52/H52*100</f>
        <v>69.341952363636366</v>
      </c>
      <c r="AF52" s="93"/>
      <c r="AG52" s="34" t="s">
        <v>60</v>
      </c>
    </row>
    <row r="53" spans="1:41" ht="47.25" hidden="1" customHeight="1" x14ac:dyDescent="0.25">
      <c r="A53" s="291"/>
      <c r="B53" s="330"/>
      <c r="C53" s="331" t="s">
        <v>290</v>
      </c>
      <c r="D53" s="332"/>
      <c r="E53" s="333"/>
      <c r="F53" s="291"/>
      <c r="G53" s="301"/>
      <c r="H53" s="302"/>
      <c r="I53" s="301"/>
      <c r="J53" s="302"/>
      <c r="L53" s="303"/>
      <c r="M53" s="335"/>
      <c r="N53" s="336"/>
      <c r="O53" s="629"/>
      <c r="P53" s="304"/>
      <c r="Q53" s="303"/>
      <c r="R53" s="305"/>
      <c r="S53" s="306"/>
      <c r="T53" s="304"/>
      <c r="U53" s="307"/>
      <c r="V53" s="304"/>
      <c r="W53" s="307"/>
      <c r="X53" s="609"/>
      <c r="Y53" s="303">
        <f t="shared" si="1"/>
        <v>0</v>
      </c>
      <c r="Z53" s="337"/>
      <c r="AA53" s="309" t="e">
        <f>Y53/N53*100</f>
        <v>#DIV/0!</v>
      </c>
      <c r="AB53" s="338"/>
      <c r="AC53" s="302"/>
      <c r="AD53" s="301"/>
      <c r="AE53" s="339"/>
      <c r="AF53" s="340"/>
    </row>
    <row r="54" spans="1:41" ht="42" hidden="1" customHeight="1" x14ac:dyDescent="0.25">
      <c r="A54" s="291"/>
      <c r="B54" s="299"/>
      <c r="C54" s="293" t="s">
        <v>301</v>
      </c>
      <c r="D54" s="300"/>
      <c r="E54" s="341" t="s">
        <v>74</v>
      </c>
      <c r="F54" s="342" t="s">
        <v>33</v>
      </c>
      <c r="G54" s="301">
        <v>1000</v>
      </c>
      <c r="H54" s="302">
        <v>605000</v>
      </c>
      <c r="I54" s="301">
        <f>1+1+1+207</f>
        <v>210</v>
      </c>
      <c r="J54" s="302">
        <f>88214+118350+128000+44100</f>
        <v>378664</v>
      </c>
      <c r="K54" s="343">
        <v>250</v>
      </c>
      <c r="L54" s="303"/>
      <c r="M54" s="246">
        <v>250</v>
      </c>
      <c r="N54" s="344">
        <v>122900</v>
      </c>
      <c r="O54" s="630">
        <v>85664.9</v>
      </c>
      <c r="P54" s="304">
        <v>0</v>
      </c>
      <c r="Q54" s="303"/>
      <c r="R54" s="305">
        <v>250</v>
      </c>
      <c r="S54" s="306"/>
      <c r="T54" s="304"/>
      <c r="U54" s="307"/>
      <c r="V54" s="304"/>
      <c r="W54" s="307"/>
      <c r="X54" s="609">
        <f t="shared" si="1"/>
        <v>250</v>
      </c>
      <c r="Y54" s="302">
        <f t="shared" si="1"/>
        <v>0</v>
      </c>
      <c r="Z54" s="345">
        <f t="shared" ref="Z54:AA68" si="15">X54/M54*100</f>
        <v>100</v>
      </c>
      <c r="AA54" s="309"/>
      <c r="AB54" s="338">
        <f t="shared" ref="AB54:AB59" si="16">I54+X54</f>
        <v>460</v>
      </c>
      <c r="AC54" s="302">
        <f t="shared" ref="AC54:AC62" si="17">Y54+J54</f>
        <v>378664</v>
      </c>
      <c r="AD54" s="301">
        <f t="shared" ref="AD54:AE62" si="18">AB54/G54*100</f>
        <v>46</v>
      </c>
      <c r="AE54" s="339">
        <f t="shared" si="18"/>
        <v>62.589090909090906</v>
      </c>
      <c r="AF54" s="340"/>
    </row>
    <row r="55" spans="1:41" ht="96" hidden="1" customHeight="1" x14ac:dyDescent="0.25">
      <c r="A55" s="291"/>
      <c r="B55" s="299"/>
      <c r="C55" s="314" t="s">
        <v>302</v>
      </c>
      <c r="D55" s="300"/>
      <c r="E55" s="341" t="s">
        <v>75</v>
      </c>
      <c r="F55" s="342" t="s">
        <v>33</v>
      </c>
      <c r="G55" s="301">
        <v>410</v>
      </c>
      <c r="H55" s="302">
        <f>100000+420000</f>
        <v>520000</v>
      </c>
      <c r="I55" s="301">
        <f>10+80+60+50</f>
        <v>200</v>
      </c>
      <c r="J55" s="302">
        <f>97108+121991+101949+65264.45</f>
        <v>386312.45</v>
      </c>
      <c r="K55" s="343">
        <v>50</v>
      </c>
      <c r="L55" s="303"/>
      <c r="M55" s="343">
        <v>50</v>
      </c>
      <c r="N55" s="344">
        <v>76837.100000000006</v>
      </c>
      <c r="O55" s="630">
        <v>76837.100000000006</v>
      </c>
      <c r="P55" s="304">
        <v>0</v>
      </c>
      <c r="Q55" s="303"/>
      <c r="R55" s="305">
        <v>0</v>
      </c>
      <c r="S55" s="306"/>
      <c r="T55" s="304"/>
      <c r="U55" s="307"/>
      <c r="V55" s="304"/>
      <c r="W55" s="307"/>
      <c r="X55" s="609">
        <f t="shared" si="1"/>
        <v>0</v>
      </c>
      <c r="Y55" s="302">
        <f t="shared" si="1"/>
        <v>0</v>
      </c>
      <c r="Z55" s="345">
        <f t="shared" si="15"/>
        <v>0</v>
      </c>
      <c r="AA55" s="309"/>
      <c r="AB55" s="338">
        <f t="shared" si="16"/>
        <v>200</v>
      </c>
      <c r="AC55" s="302">
        <f t="shared" si="17"/>
        <v>386312.45</v>
      </c>
      <c r="AD55" s="301">
        <f t="shared" si="18"/>
        <v>48.780487804878049</v>
      </c>
      <c r="AE55" s="339">
        <f t="shared" si="18"/>
        <v>74.290855769230774</v>
      </c>
      <c r="AF55" s="340"/>
    </row>
    <row r="56" spans="1:41" ht="36.75" hidden="1" customHeight="1" x14ac:dyDescent="0.25">
      <c r="A56" s="291"/>
      <c r="B56" s="299"/>
      <c r="C56" s="314" t="s">
        <v>303</v>
      </c>
      <c r="D56" s="300"/>
      <c r="E56" s="97" t="s">
        <v>76</v>
      </c>
      <c r="F56" s="346" t="s">
        <v>77</v>
      </c>
      <c r="G56" s="301">
        <v>120</v>
      </c>
      <c r="H56" s="302">
        <v>340000</v>
      </c>
      <c r="I56" s="301">
        <f>20+48+24+0</f>
        <v>92</v>
      </c>
      <c r="J56" s="302">
        <f>39255+69540+70000+0</f>
        <v>178795</v>
      </c>
      <c r="K56" s="294">
        <v>50</v>
      </c>
      <c r="L56" s="303"/>
      <c r="M56" s="294">
        <v>50</v>
      </c>
      <c r="N56" s="295">
        <v>41520</v>
      </c>
      <c r="O56" s="627">
        <v>41520</v>
      </c>
      <c r="P56" s="304">
        <v>0</v>
      </c>
      <c r="Q56" s="303"/>
      <c r="R56" s="305">
        <v>0</v>
      </c>
      <c r="S56" s="306"/>
      <c r="T56" s="304"/>
      <c r="U56" s="307"/>
      <c r="V56" s="304"/>
      <c r="W56" s="307"/>
      <c r="X56" s="609">
        <f t="shared" si="1"/>
        <v>0</v>
      </c>
      <c r="Y56" s="302">
        <f t="shared" si="1"/>
        <v>0</v>
      </c>
      <c r="Z56" s="345">
        <f t="shared" si="15"/>
        <v>0</v>
      </c>
      <c r="AA56" s="309"/>
      <c r="AB56" s="338">
        <f t="shared" si="16"/>
        <v>92</v>
      </c>
      <c r="AC56" s="302">
        <f t="shared" si="17"/>
        <v>178795</v>
      </c>
      <c r="AD56" s="301">
        <f t="shared" si="18"/>
        <v>76.666666666666671</v>
      </c>
      <c r="AE56" s="339">
        <f t="shared" si="18"/>
        <v>52.586764705882352</v>
      </c>
      <c r="AF56" s="340"/>
    </row>
    <row r="57" spans="1:41" ht="56.25" hidden="1" customHeight="1" x14ac:dyDescent="0.25">
      <c r="A57" s="291"/>
      <c r="B57" s="299"/>
      <c r="C57" s="347"/>
      <c r="D57" s="300"/>
      <c r="E57" s="97" t="s">
        <v>397</v>
      </c>
      <c r="F57" s="346" t="s">
        <v>306</v>
      </c>
      <c r="G57" s="301"/>
      <c r="H57" s="302"/>
      <c r="I57" s="301">
        <v>284</v>
      </c>
      <c r="J57" s="302"/>
      <c r="K57" s="294">
        <v>0</v>
      </c>
      <c r="L57" s="303"/>
      <c r="M57" s="294">
        <v>1</v>
      </c>
      <c r="N57" s="295">
        <v>0</v>
      </c>
      <c r="O57" s="627">
        <v>123408</v>
      </c>
      <c r="P57" s="304">
        <v>0</v>
      </c>
      <c r="Q57" s="303"/>
      <c r="R57" s="305"/>
      <c r="S57" s="306"/>
      <c r="T57" s="304"/>
      <c r="U57" s="307"/>
      <c r="V57" s="304"/>
      <c r="W57" s="307"/>
      <c r="X57" s="609">
        <f t="shared" si="1"/>
        <v>0</v>
      </c>
      <c r="Y57" s="302">
        <f t="shared" si="1"/>
        <v>0</v>
      </c>
      <c r="Z57" s="345">
        <f t="shared" si="15"/>
        <v>0</v>
      </c>
      <c r="AA57" s="309"/>
      <c r="AB57" s="338">
        <f t="shared" si="16"/>
        <v>284</v>
      </c>
      <c r="AC57" s="302">
        <f t="shared" si="17"/>
        <v>0</v>
      </c>
      <c r="AD57" s="301" t="e">
        <f t="shared" si="18"/>
        <v>#DIV/0!</v>
      </c>
      <c r="AE57" s="339" t="e">
        <f t="shared" si="18"/>
        <v>#DIV/0!</v>
      </c>
      <c r="AF57" s="340"/>
    </row>
    <row r="58" spans="1:41" ht="39.75" hidden="1" customHeight="1" x14ac:dyDescent="0.25">
      <c r="A58" s="342"/>
      <c r="B58" s="130"/>
      <c r="C58" s="348"/>
      <c r="D58" s="132"/>
      <c r="E58" s="97" t="s">
        <v>78</v>
      </c>
      <c r="F58" s="98" t="s">
        <v>79</v>
      </c>
      <c r="G58" s="117"/>
      <c r="H58" s="118"/>
      <c r="I58" s="117"/>
      <c r="J58" s="118"/>
      <c r="K58" s="294">
        <v>1</v>
      </c>
      <c r="L58" s="121"/>
      <c r="M58" s="294">
        <v>1</v>
      </c>
      <c r="N58" s="295">
        <v>30000</v>
      </c>
      <c r="O58" s="627">
        <v>230000</v>
      </c>
      <c r="P58" s="119">
        <v>1</v>
      </c>
      <c r="Q58" s="121"/>
      <c r="R58" s="123">
        <v>0</v>
      </c>
      <c r="S58" s="124"/>
      <c r="T58" s="119"/>
      <c r="U58" s="125"/>
      <c r="V58" s="119"/>
      <c r="W58" s="125"/>
      <c r="X58" s="209">
        <f t="shared" si="1"/>
        <v>1</v>
      </c>
      <c r="Y58" s="118">
        <f t="shared" si="1"/>
        <v>0</v>
      </c>
      <c r="Z58" s="349">
        <f t="shared" si="15"/>
        <v>100</v>
      </c>
      <c r="AA58" s="126"/>
      <c r="AB58" s="138">
        <f t="shared" si="16"/>
        <v>1</v>
      </c>
      <c r="AC58" s="118">
        <f t="shared" si="17"/>
        <v>0</v>
      </c>
      <c r="AD58" s="117" t="e">
        <f t="shared" si="18"/>
        <v>#DIV/0!</v>
      </c>
      <c r="AE58" s="350" t="e">
        <f t="shared" si="18"/>
        <v>#DIV/0!</v>
      </c>
      <c r="AF58" s="113"/>
    </row>
    <row r="59" spans="1:41" ht="66.75" hidden="1" customHeight="1" x14ac:dyDescent="0.25">
      <c r="A59" s="113">
        <v>17</v>
      </c>
      <c r="B59" s="130" t="s">
        <v>199</v>
      </c>
      <c r="C59" s="131" t="s">
        <v>305</v>
      </c>
      <c r="D59" s="132" t="s">
        <v>80</v>
      </c>
      <c r="E59" s="133" t="s">
        <v>81</v>
      </c>
      <c r="F59" s="134" t="s">
        <v>306</v>
      </c>
      <c r="G59" s="117">
        <v>300</v>
      </c>
      <c r="H59" s="118">
        <v>335000</v>
      </c>
      <c r="I59" s="117">
        <f>6+4+3+6</f>
        <v>19</v>
      </c>
      <c r="J59" s="118">
        <f>73117+74340+74833+8210</f>
        <v>230500</v>
      </c>
      <c r="K59" s="168">
        <v>1</v>
      </c>
      <c r="L59" s="121">
        <v>50000</v>
      </c>
      <c r="M59" s="168">
        <v>1</v>
      </c>
      <c r="N59" s="169">
        <v>50000</v>
      </c>
      <c r="O59" s="625">
        <v>50000</v>
      </c>
      <c r="P59" s="119">
        <v>1</v>
      </c>
      <c r="Q59" s="121">
        <v>1390.8</v>
      </c>
      <c r="R59" s="123">
        <v>1</v>
      </c>
      <c r="S59" s="124">
        <f>17370-Q59</f>
        <v>15979.2</v>
      </c>
      <c r="T59" s="119"/>
      <c r="U59" s="125"/>
      <c r="V59" s="119"/>
      <c r="W59" s="125"/>
      <c r="X59" s="119">
        <v>1</v>
      </c>
      <c r="Y59" s="124">
        <f t="shared" si="1"/>
        <v>17370</v>
      </c>
      <c r="Z59" s="137">
        <f t="shared" si="15"/>
        <v>100</v>
      </c>
      <c r="AA59" s="126">
        <f t="shared" si="15"/>
        <v>34.74</v>
      </c>
      <c r="AB59" s="138">
        <f t="shared" si="16"/>
        <v>20</v>
      </c>
      <c r="AC59" s="118">
        <f t="shared" si="17"/>
        <v>247870</v>
      </c>
      <c r="AD59" s="139">
        <f t="shared" si="18"/>
        <v>6.666666666666667</v>
      </c>
      <c r="AE59" s="129">
        <f t="shared" si="18"/>
        <v>73.991044776119409</v>
      </c>
      <c r="AF59" s="113"/>
      <c r="AG59" s="34" t="s">
        <v>165</v>
      </c>
    </row>
    <row r="60" spans="1:41" s="72" customFormat="1" ht="57" hidden="1" customHeight="1" x14ac:dyDescent="0.25">
      <c r="A60" s="50" t="s">
        <v>7</v>
      </c>
      <c r="B60" s="257">
        <v>4.5879629629629631E-2</v>
      </c>
      <c r="C60" s="211" t="s">
        <v>307</v>
      </c>
      <c r="D60" s="53" t="s">
        <v>82</v>
      </c>
      <c r="E60" s="54" t="s">
        <v>83</v>
      </c>
      <c r="F60" s="55" t="s">
        <v>15</v>
      </c>
      <c r="G60" s="141">
        <v>45.38</v>
      </c>
      <c r="H60" s="142">
        <v>2985000</v>
      </c>
      <c r="I60" s="271">
        <f>'[1]TW IV FIX'!$AB$62</f>
        <v>63.45</v>
      </c>
      <c r="J60" s="142">
        <f>'[1]TW IV FIX'!$AC$62</f>
        <v>5899469.1420000009</v>
      </c>
      <c r="K60" s="56">
        <v>45.38</v>
      </c>
      <c r="L60" s="57">
        <f>L63+L72-L61-L62</f>
        <v>539037.4</v>
      </c>
      <c r="M60" s="56">
        <v>45.38</v>
      </c>
      <c r="N60" s="351">
        <f>N63+N72-N61-N62</f>
        <v>537599.9</v>
      </c>
      <c r="O60" s="351">
        <f>O63+O72-O61-O62</f>
        <v>512249.9</v>
      </c>
      <c r="P60" s="353">
        <f>I60+0.7</f>
        <v>64.150000000000006</v>
      </c>
      <c r="Q60" s="351">
        <f>Q63+Q72-Q61-Q62</f>
        <v>22779</v>
      </c>
      <c r="R60" s="353">
        <f>0.3</f>
        <v>0.3</v>
      </c>
      <c r="S60" s="351">
        <f>S63+S72-S61-S62</f>
        <v>63079</v>
      </c>
      <c r="T60" s="352"/>
      <c r="U60" s="352"/>
      <c r="V60" s="352"/>
      <c r="W60" s="352"/>
      <c r="X60" s="271">
        <f>P60+R60</f>
        <v>64.45</v>
      </c>
      <c r="Y60" s="142">
        <f>Q60+S60+U60+W60</f>
        <v>85858</v>
      </c>
      <c r="Z60" s="271">
        <f t="shared" si="15"/>
        <v>142.02291758483915</v>
      </c>
      <c r="AA60" s="60">
        <f t="shared" si="15"/>
        <v>15.97061308977178</v>
      </c>
      <c r="AB60" s="271">
        <f>X60</f>
        <v>64.45</v>
      </c>
      <c r="AC60" s="142">
        <f t="shared" si="17"/>
        <v>5985327.1420000009</v>
      </c>
      <c r="AD60" s="619">
        <f t="shared" si="18"/>
        <v>142.02291758483915</v>
      </c>
      <c r="AE60" s="270">
        <f t="shared" si="18"/>
        <v>200.51347209380239</v>
      </c>
      <c r="AF60" s="620"/>
    </row>
    <row r="61" spans="1:41" s="72" customFormat="1" ht="70.5" hidden="1" customHeight="1" x14ac:dyDescent="0.25">
      <c r="A61" s="354"/>
      <c r="B61" s="272"/>
      <c r="C61" s="211"/>
      <c r="D61" s="355"/>
      <c r="E61" s="54" t="s">
        <v>84</v>
      </c>
      <c r="F61" s="55" t="s">
        <v>15</v>
      </c>
      <c r="G61" s="356">
        <v>3.63</v>
      </c>
      <c r="H61" s="142">
        <f>355000+535000</f>
        <v>890000</v>
      </c>
      <c r="I61" s="357">
        <f>'[1]TW IV FIX'!$AB$63</f>
        <v>3.4299999999999997</v>
      </c>
      <c r="J61" s="358">
        <f>'[1]TW IV FIX'!$AC$63</f>
        <v>636754.54999999993</v>
      </c>
      <c r="K61" s="66">
        <v>3.1</v>
      </c>
      <c r="L61" s="57">
        <f>N61</f>
        <v>144550</v>
      </c>
      <c r="M61" s="66">
        <v>3.63</v>
      </c>
      <c r="N61" s="351">
        <f>N65+N68+N69+N70</f>
        <v>144550</v>
      </c>
      <c r="O61" s="351">
        <f>O65+O68+O69+O70</f>
        <v>144550</v>
      </c>
      <c r="P61" s="353">
        <f>I61+0.12</f>
        <v>3.55</v>
      </c>
      <c r="Q61" s="351">
        <f>Q65+Q68+Q69+Q70</f>
        <v>104679</v>
      </c>
      <c r="R61" s="353">
        <v>0.01</v>
      </c>
      <c r="S61" s="351">
        <f>S65+S68+S69+S70</f>
        <v>66585.843999999997</v>
      </c>
      <c r="T61" s="359"/>
      <c r="U61" s="359"/>
      <c r="V61" s="359"/>
      <c r="W61" s="359"/>
      <c r="X61" s="271">
        <f>P61+R61+T61+V61</f>
        <v>3.5599999999999996</v>
      </c>
      <c r="Y61" s="142">
        <f>Q61+S61+U61+W61</f>
        <v>171264.84399999998</v>
      </c>
      <c r="Z61" s="271">
        <f t="shared" si="15"/>
        <v>98.071625344352611</v>
      </c>
      <c r="AA61" s="60">
        <f t="shared" si="15"/>
        <v>118.48138637149775</v>
      </c>
      <c r="AB61" s="271">
        <f>+X61</f>
        <v>3.5599999999999996</v>
      </c>
      <c r="AC61" s="142">
        <f t="shared" si="17"/>
        <v>808019.39399999985</v>
      </c>
      <c r="AD61" s="619">
        <f t="shared" si="18"/>
        <v>98.071625344352611</v>
      </c>
      <c r="AE61" s="270">
        <f t="shared" si="18"/>
        <v>90.78869595505617</v>
      </c>
      <c r="AF61" s="55"/>
      <c r="AG61" s="360" t="s">
        <v>308</v>
      </c>
      <c r="AH61" s="72">
        <v>0.12215795771838851</v>
      </c>
      <c r="AN61" s="361">
        <f>49/40112*100</f>
        <v>0.12215795771838851</v>
      </c>
      <c r="AO61" s="362">
        <f>6/40112*100</f>
        <v>1.4958117271639409E-2</v>
      </c>
    </row>
    <row r="62" spans="1:41" s="72" customFormat="1" ht="53.25" hidden="1" customHeight="1" x14ac:dyDescent="0.25">
      <c r="A62" s="354"/>
      <c r="B62" s="272"/>
      <c r="C62" s="211"/>
      <c r="D62" s="355"/>
      <c r="E62" s="54" t="s">
        <v>85</v>
      </c>
      <c r="F62" s="55" t="s">
        <v>15</v>
      </c>
      <c r="G62" s="356">
        <v>68.06</v>
      </c>
      <c r="H62" s="142">
        <f>405000</f>
        <v>405000</v>
      </c>
      <c r="I62" s="357">
        <f>'[1]TW IV FIX'!$AB$64</f>
        <v>57.78</v>
      </c>
      <c r="J62" s="358">
        <f>'[1]TW IV FIX'!$AC$64</f>
        <v>194666.25</v>
      </c>
      <c r="K62" s="56">
        <v>57.59</v>
      </c>
      <c r="L62" s="57">
        <f>N62</f>
        <v>30562.6</v>
      </c>
      <c r="M62" s="56">
        <v>68.06</v>
      </c>
      <c r="N62" s="351">
        <f>N76</f>
        <v>30562.6</v>
      </c>
      <c r="O62" s="351">
        <f>O76</f>
        <v>30562.6</v>
      </c>
      <c r="P62" s="353">
        <v>57.78</v>
      </c>
      <c r="Q62" s="351">
        <v>0</v>
      </c>
      <c r="R62" s="353">
        <v>2.11</v>
      </c>
      <c r="S62" s="351">
        <v>0</v>
      </c>
      <c r="T62" s="352"/>
      <c r="U62" s="352"/>
      <c r="V62" s="352"/>
      <c r="W62" s="352"/>
      <c r="X62" s="271">
        <f>P62+R62+T62+V62</f>
        <v>59.89</v>
      </c>
      <c r="Y62" s="142">
        <f>Q62+S62+U62+W62</f>
        <v>0</v>
      </c>
      <c r="Z62" s="271">
        <f t="shared" si="15"/>
        <v>87.99588598295621</v>
      </c>
      <c r="AA62" s="60">
        <f t="shared" si="15"/>
        <v>0</v>
      </c>
      <c r="AB62" s="271">
        <f>+X62</f>
        <v>59.89</v>
      </c>
      <c r="AC62" s="142">
        <f t="shared" si="17"/>
        <v>194666.25</v>
      </c>
      <c r="AD62" s="619">
        <f t="shared" si="18"/>
        <v>87.99588598295621</v>
      </c>
      <c r="AE62" s="270">
        <f t="shared" si="18"/>
        <v>48.065740740740743</v>
      </c>
      <c r="AF62" s="55"/>
      <c r="AN62" s="363">
        <f>2/95*100</f>
        <v>2.1052631578947367</v>
      </c>
    </row>
    <row r="63" spans="1:41" s="72" customFormat="1" ht="87" hidden="1" customHeight="1" x14ac:dyDescent="0.25">
      <c r="A63" s="226"/>
      <c r="B63" s="192" t="s">
        <v>309</v>
      </c>
      <c r="C63" s="193"/>
      <c r="D63" s="78" t="s">
        <v>86</v>
      </c>
      <c r="E63" s="79" t="s">
        <v>310</v>
      </c>
      <c r="F63" s="364" t="s">
        <v>33</v>
      </c>
      <c r="G63" s="83"/>
      <c r="H63" s="82"/>
      <c r="I63" s="83"/>
      <c r="J63" s="82"/>
      <c r="K63" s="154">
        <f t="shared" ref="K63:Q63" si="19">SUM(K64:K71)</f>
        <v>301</v>
      </c>
      <c r="L63" s="155">
        <f t="shared" si="19"/>
        <v>481550</v>
      </c>
      <c r="M63" s="154">
        <f>SUM(M64:M71)</f>
        <v>301</v>
      </c>
      <c r="N63" s="155">
        <f>SUM(N64:N71)</f>
        <v>481550</v>
      </c>
      <c r="O63" s="155">
        <f>SUM(O64:O71)</f>
        <v>471800</v>
      </c>
      <c r="P63" s="154">
        <f t="shared" si="19"/>
        <v>123</v>
      </c>
      <c r="Q63" s="153">
        <f t="shared" si="19"/>
        <v>105138</v>
      </c>
      <c r="R63" s="154">
        <f>SUM(R64:R71)</f>
        <v>64</v>
      </c>
      <c r="S63" s="155">
        <f>SUM(S64:S71)</f>
        <v>68738.843999999997</v>
      </c>
      <c r="T63" s="154"/>
      <c r="U63" s="227"/>
      <c r="V63" s="227"/>
      <c r="W63" s="227"/>
      <c r="X63" s="154">
        <f>SUM(X64:X71)</f>
        <v>187</v>
      </c>
      <c r="Y63" s="155">
        <f>SUM(Y64:Y71)</f>
        <v>173876.84399999998</v>
      </c>
      <c r="Z63" s="159">
        <f t="shared" si="15"/>
        <v>62.126245847176079</v>
      </c>
      <c r="AA63" s="158">
        <f t="shared" si="15"/>
        <v>36.107744574810503</v>
      </c>
      <c r="AB63" s="231"/>
      <c r="AC63" s="232"/>
      <c r="AD63" s="365"/>
      <c r="AE63" s="234"/>
      <c r="AF63" s="226"/>
    </row>
    <row r="64" spans="1:41" ht="59.25" hidden="1" customHeight="1" x14ac:dyDescent="0.25">
      <c r="A64" s="134">
        <v>18</v>
      </c>
      <c r="B64" s="206" t="s">
        <v>200</v>
      </c>
      <c r="C64" s="196" t="s">
        <v>311</v>
      </c>
      <c r="D64" s="165" t="s">
        <v>87</v>
      </c>
      <c r="E64" s="315" t="s">
        <v>312</v>
      </c>
      <c r="F64" s="316" t="s">
        <v>33</v>
      </c>
      <c r="G64" s="236">
        <v>255</v>
      </c>
      <c r="H64" s="175">
        <v>1500000</v>
      </c>
      <c r="I64" s="236">
        <f>50+106+116+124</f>
        <v>396</v>
      </c>
      <c r="J64" s="175">
        <f>276975+407424+296676+163810.189</f>
        <v>1144885.189</v>
      </c>
      <c r="K64" s="237">
        <v>55</v>
      </c>
      <c r="L64" s="169">
        <v>47000</v>
      </c>
      <c r="M64" s="366">
        <v>55</v>
      </c>
      <c r="N64" s="169">
        <v>47000</v>
      </c>
      <c r="O64" s="295">
        <v>47000</v>
      </c>
      <c r="P64" s="168">
        <v>25</v>
      </c>
      <c r="Q64" s="169">
        <v>0</v>
      </c>
      <c r="R64" s="170">
        <v>0</v>
      </c>
      <c r="S64" s="171">
        <v>0</v>
      </c>
      <c r="T64" s="168"/>
      <c r="U64" s="169"/>
      <c r="V64" s="366"/>
      <c r="W64" s="135"/>
      <c r="X64" s="237">
        <f t="shared" si="1"/>
        <v>25</v>
      </c>
      <c r="Y64" s="171">
        <f t="shared" si="1"/>
        <v>0</v>
      </c>
      <c r="Z64" s="172">
        <f t="shared" si="15"/>
        <v>45.454545454545453</v>
      </c>
      <c r="AA64" s="173">
        <f t="shared" si="15"/>
        <v>0</v>
      </c>
      <c r="AB64" s="243">
        <f>I64+X64</f>
        <v>421</v>
      </c>
      <c r="AC64" s="175">
        <f>Y64+J64</f>
        <v>1144885.189</v>
      </c>
      <c r="AD64" s="244">
        <f t="shared" ref="AD64:AE66" si="20">AB64/G64*100</f>
        <v>165.09803921568627</v>
      </c>
      <c r="AE64" s="244">
        <f t="shared" si="20"/>
        <v>76.325679266666668</v>
      </c>
      <c r="AF64" s="134"/>
      <c r="AG64" s="34">
        <f>5100000/850000</f>
        <v>6</v>
      </c>
    </row>
    <row r="65" spans="1:41" ht="57.75" hidden="1" customHeight="1" x14ac:dyDescent="0.25">
      <c r="A65" s="113">
        <v>19</v>
      </c>
      <c r="B65" s="206" t="s">
        <v>201</v>
      </c>
      <c r="C65" s="131"/>
      <c r="D65" s="132" t="s">
        <v>88</v>
      </c>
      <c r="E65" s="133" t="s">
        <v>313</v>
      </c>
      <c r="F65" s="134" t="s">
        <v>89</v>
      </c>
      <c r="G65" s="117"/>
      <c r="H65" s="118"/>
      <c r="I65" s="117"/>
      <c r="J65" s="118"/>
      <c r="K65" s="119">
        <v>46</v>
      </c>
      <c r="L65" s="121">
        <v>104750</v>
      </c>
      <c r="M65" s="119">
        <v>46</v>
      </c>
      <c r="N65" s="121">
        <v>104750</v>
      </c>
      <c r="O65" s="121">
        <v>104750</v>
      </c>
      <c r="P65" s="119">
        <v>46</v>
      </c>
      <c r="Q65" s="121">
        <v>104679</v>
      </c>
      <c r="R65" s="123">
        <v>6</v>
      </c>
      <c r="S65" s="124">
        <v>0</v>
      </c>
      <c r="T65" s="119"/>
      <c r="U65" s="125"/>
      <c r="V65" s="119"/>
      <c r="W65" s="125"/>
      <c r="X65" s="119">
        <f t="shared" si="1"/>
        <v>52</v>
      </c>
      <c r="Y65" s="121">
        <f t="shared" si="1"/>
        <v>104679</v>
      </c>
      <c r="Z65" s="137">
        <f t="shared" si="15"/>
        <v>113.04347826086956</v>
      </c>
      <c r="AA65" s="173">
        <f t="shared" si="15"/>
        <v>99.932219570405721</v>
      </c>
      <c r="AB65" s="138">
        <f>I65+X65</f>
        <v>52</v>
      </c>
      <c r="AC65" s="118">
        <f>Y65+J65</f>
        <v>104679</v>
      </c>
      <c r="AD65" s="139" t="e">
        <f t="shared" si="20"/>
        <v>#DIV/0!</v>
      </c>
      <c r="AE65" s="128" t="e">
        <f t="shared" si="20"/>
        <v>#DIV/0!</v>
      </c>
      <c r="AF65" s="113"/>
    </row>
    <row r="66" spans="1:41" ht="48.75" hidden="1" customHeight="1" x14ac:dyDescent="0.25">
      <c r="A66" s="134">
        <v>20</v>
      </c>
      <c r="B66" s="206" t="s">
        <v>202</v>
      </c>
      <c r="C66" s="164"/>
      <c r="D66" s="165" t="s">
        <v>91</v>
      </c>
      <c r="E66" s="133" t="s">
        <v>314</v>
      </c>
      <c r="F66" s="134" t="s">
        <v>33</v>
      </c>
      <c r="G66" s="236"/>
      <c r="H66" s="175"/>
      <c r="I66" s="236">
        <f>200+0+0+0</f>
        <v>200</v>
      </c>
      <c r="J66" s="175">
        <f>42002</f>
        <v>42002</v>
      </c>
      <c r="K66" s="168">
        <v>65</v>
      </c>
      <c r="L66" s="169">
        <v>90000</v>
      </c>
      <c r="M66" s="168">
        <v>65</v>
      </c>
      <c r="N66" s="169">
        <v>90000</v>
      </c>
      <c r="O66" s="169">
        <v>5250</v>
      </c>
      <c r="P66" s="168">
        <f>2+4+5+3</f>
        <v>14</v>
      </c>
      <c r="Q66" s="169">
        <v>459</v>
      </c>
      <c r="R66" s="170">
        <v>16</v>
      </c>
      <c r="S66" s="171">
        <v>2153</v>
      </c>
      <c r="T66" s="168"/>
      <c r="U66" s="241"/>
      <c r="V66" s="168"/>
      <c r="W66" s="241"/>
      <c r="X66" s="168">
        <f t="shared" si="1"/>
        <v>30</v>
      </c>
      <c r="Y66" s="169">
        <f>459+2153</f>
        <v>2612</v>
      </c>
      <c r="Z66" s="172">
        <f t="shared" si="15"/>
        <v>46.153846153846153</v>
      </c>
      <c r="AA66" s="173">
        <f t="shared" si="15"/>
        <v>2.9022222222222225</v>
      </c>
      <c r="AB66" s="243">
        <f>I66+X66</f>
        <v>230</v>
      </c>
      <c r="AC66" s="175">
        <f>Y66+J66</f>
        <v>44614</v>
      </c>
      <c r="AD66" s="176" t="e">
        <f t="shared" si="20"/>
        <v>#DIV/0!</v>
      </c>
      <c r="AE66" s="244" t="e">
        <f t="shared" si="20"/>
        <v>#DIV/0!</v>
      </c>
      <c r="AF66" s="134"/>
    </row>
    <row r="67" spans="1:41" ht="42.75" hidden="1" customHeight="1" x14ac:dyDescent="0.25">
      <c r="A67" s="93"/>
      <c r="B67" s="94" t="s">
        <v>202</v>
      </c>
      <c r="C67" s="367" t="s">
        <v>315</v>
      </c>
      <c r="D67" s="368"/>
      <c r="E67" s="198"/>
      <c r="F67" s="322"/>
      <c r="G67" s="99"/>
      <c r="H67" s="100"/>
      <c r="I67" s="99"/>
      <c r="J67" s="100"/>
      <c r="K67" s="317"/>
      <c r="L67" s="318"/>
      <c r="M67" s="101"/>
      <c r="N67" s="103"/>
      <c r="O67" s="369"/>
      <c r="P67" s="101"/>
      <c r="Q67" s="103"/>
      <c r="R67" s="105"/>
      <c r="S67" s="106"/>
      <c r="T67" s="101"/>
      <c r="U67" s="107"/>
      <c r="V67" s="101"/>
      <c r="W67" s="107"/>
      <c r="X67" s="101"/>
      <c r="Y67" s="103"/>
      <c r="Z67" s="324"/>
      <c r="AA67" s="370" t="e">
        <f t="shared" si="15"/>
        <v>#DIV/0!</v>
      </c>
      <c r="AB67" s="326"/>
      <c r="AC67" s="100"/>
      <c r="AD67" s="111"/>
      <c r="AE67" s="111"/>
      <c r="AF67" s="93"/>
    </row>
    <row r="68" spans="1:41" ht="78" hidden="1" customHeight="1" x14ac:dyDescent="0.25">
      <c r="A68" s="316">
        <v>21</v>
      </c>
      <c r="B68" s="292" t="s">
        <v>203</v>
      </c>
      <c r="C68" s="371" t="s">
        <v>316</v>
      </c>
      <c r="D68" s="372" t="s">
        <v>92</v>
      </c>
      <c r="E68" s="207" t="s">
        <v>93</v>
      </c>
      <c r="F68" s="235" t="s">
        <v>33</v>
      </c>
      <c r="G68" s="301">
        <v>6</v>
      </c>
      <c r="H68" s="302">
        <v>535000</v>
      </c>
      <c r="I68" s="301">
        <v>4</v>
      </c>
      <c r="J68" s="302">
        <f>91128+52904+70000+79766.95</f>
        <v>293798.95</v>
      </c>
      <c r="K68" s="294">
        <v>10</v>
      </c>
      <c r="L68" s="318">
        <v>26800</v>
      </c>
      <c r="M68" s="119">
        <v>10</v>
      </c>
      <c r="N68" s="121">
        <v>20000</v>
      </c>
      <c r="O68" s="238">
        <v>20000</v>
      </c>
      <c r="P68" s="304">
        <v>0</v>
      </c>
      <c r="Q68" s="303">
        <v>0</v>
      </c>
      <c r="R68" s="305">
        <v>0</v>
      </c>
      <c r="S68" s="306">
        <v>0</v>
      </c>
      <c r="T68" s="304"/>
      <c r="U68" s="307"/>
      <c r="V68" s="304"/>
      <c r="W68" s="373"/>
      <c r="X68" s="304">
        <f t="shared" si="1"/>
        <v>0</v>
      </c>
      <c r="Y68" s="303">
        <f t="shared" si="1"/>
        <v>0</v>
      </c>
      <c r="Z68" s="329">
        <f>X68/M68*100</f>
        <v>0</v>
      </c>
      <c r="AA68" s="109">
        <f t="shared" si="15"/>
        <v>0</v>
      </c>
      <c r="AB68" s="338">
        <f>I68+X68</f>
        <v>4</v>
      </c>
      <c r="AC68" s="302">
        <f>Y68+J68</f>
        <v>293798.95</v>
      </c>
      <c r="AD68" s="374">
        <f t="shared" ref="AD68:AE71" si="21">AB68/G68*100</f>
        <v>66.666666666666657</v>
      </c>
      <c r="AE68" s="374">
        <f t="shared" si="21"/>
        <v>54.915691588785052</v>
      </c>
      <c r="AF68" s="375"/>
      <c r="AG68" s="34" t="s">
        <v>90</v>
      </c>
    </row>
    <row r="69" spans="1:41" ht="57.75" hidden="1" customHeight="1" x14ac:dyDescent="0.25">
      <c r="A69" s="342"/>
      <c r="B69" s="247"/>
      <c r="C69" s="347"/>
      <c r="D69" s="376"/>
      <c r="E69" s="207" t="s">
        <v>317</v>
      </c>
      <c r="F69" s="245" t="s">
        <v>33</v>
      </c>
      <c r="G69" s="117">
        <v>125</v>
      </c>
      <c r="H69" s="118">
        <v>355000</v>
      </c>
      <c r="I69" s="117"/>
      <c r="J69" s="118"/>
      <c r="K69" s="343">
        <v>35</v>
      </c>
      <c r="L69" s="121"/>
      <c r="M69" s="343">
        <v>35</v>
      </c>
      <c r="N69" s="344">
        <v>6800</v>
      </c>
      <c r="O69" s="344">
        <v>6800</v>
      </c>
      <c r="P69" s="119">
        <v>0</v>
      </c>
      <c r="Q69" s="121"/>
      <c r="R69" s="123">
        <v>0</v>
      </c>
      <c r="S69" s="124"/>
      <c r="T69" s="119"/>
      <c r="U69" s="125"/>
      <c r="V69" s="119"/>
      <c r="W69" s="125"/>
      <c r="X69" s="117">
        <f>P69+R69+T69+V69</f>
        <v>0</v>
      </c>
      <c r="Y69" s="302">
        <f>Q69+S69+U69+W69</f>
        <v>0</v>
      </c>
      <c r="Z69" s="349">
        <f>X69/M69*100</f>
        <v>0</v>
      </c>
      <c r="AA69" s="126"/>
      <c r="AB69" s="138">
        <f>I69+X69</f>
        <v>0</v>
      </c>
      <c r="AC69" s="118">
        <f>Y69+J69</f>
        <v>0</v>
      </c>
      <c r="AD69" s="128">
        <f t="shared" si="21"/>
        <v>0</v>
      </c>
      <c r="AE69" s="128">
        <f t="shared" si="21"/>
        <v>0</v>
      </c>
      <c r="AF69" s="377"/>
    </row>
    <row r="70" spans="1:41" ht="50.25" hidden="1" customHeight="1" x14ac:dyDescent="0.25">
      <c r="A70" s="340">
        <v>22</v>
      </c>
      <c r="B70" s="378" t="s">
        <v>204</v>
      </c>
      <c r="C70" s="379"/>
      <c r="D70" s="300" t="s">
        <v>94</v>
      </c>
      <c r="E70" s="341" t="s">
        <v>95</v>
      </c>
      <c r="F70" s="98" t="s">
        <v>33</v>
      </c>
      <c r="G70" s="301"/>
      <c r="H70" s="302"/>
      <c r="I70" s="301"/>
      <c r="J70" s="302"/>
      <c r="K70" s="294">
        <v>30</v>
      </c>
      <c r="L70" s="103">
        <v>213000</v>
      </c>
      <c r="M70" s="294">
        <v>30</v>
      </c>
      <c r="N70" s="344">
        <v>13000</v>
      </c>
      <c r="O70" s="344">
        <v>13000</v>
      </c>
      <c r="P70" s="304">
        <f>4+3+6</f>
        <v>13</v>
      </c>
      <c r="Q70" s="303">
        <v>0</v>
      </c>
      <c r="R70" s="305">
        <v>30</v>
      </c>
      <c r="S70" s="306">
        <v>66585.843999999997</v>
      </c>
      <c r="T70" s="304"/>
      <c r="U70" s="303"/>
      <c r="V70" s="304"/>
      <c r="W70" s="336"/>
      <c r="X70" s="609">
        <f t="shared" si="1"/>
        <v>43</v>
      </c>
      <c r="Y70" s="106">
        <f>Q70+S70+U70+W70</f>
        <v>66585.843999999997</v>
      </c>
      <c r="Z70" s="329">
        <f>X71/(M70+M71)*100</f>
        <v>41.111111111111107</v>
      </c>
      <c r="AA70" s="309">
        <f>Y70/N70*100</f>
        <v>512.19880000000001</v>
      </c>
      <c r="AB70" s="310">
        <f>I70+X70</f>
        <v>43</v>
      </c>
      <c r="AC70" s="302">
        <f>Y70+J70</f>
        <v>66585.843999999997</v>
      </c>
      <c r="AD70" s="374" t="e">
        <f t="shared" si="21"/>
        <v>#DIV/0!</v>
      </c>
      <c r="AE70" s="374" t="e">
        <f t="shared" si="21"/>
        <v>#DIV/0!</v>
      </c>
      <c r="AF70" s="340"/>
    </row>
    <row r="71" spans="1:41" ht="50.25" hidden="1" customHeight="1" x14ac:dyDescent="0.25">
      <c r="A71" s="340"/>
      <c r="B71" s="380"/>
      <c r="C71" s="348"/>
      <c r="D71" s="132"/>
      <c r="E71" s="315" t="s">
        <v>96</v>
      </c>
      <c r="F71" s="316" t="s">
        <v>33</v>
      </c>
      <c r="G71" s="301"/>
      <c r="H71" s="302"/>
      <c r="I71" s="301"/>
      <c r="J71" s="302"/>
      <c r="K71" s="317">
        <v>60</v>
      </c>
      <c r="L71" s="121"/>
      <c r="M71" s="317">
        <v>60</v>
      </c>
      <c r="N71" s="318">
        <v>200000</v>
      </c>
      <c r="O71" s="318">
        <v>275000</v>
      </c>
      <c r="P71" s="304">
        <f>3+5+17</f>
        <v>25</v>
      </c>
      <c r="Q71" s="303"/>
      <c r="R71" s="305">
        <v>12</v>
      </c>
      <c r="S71" s="306"/>
      <c r="T71" s="304"/>
      <c r="U71" s="307"/>
      <c r="V71" s="304"/>
      <c r="W71" s="381"/>
      <c r="X71" s="402">
        <f t="shared" si="1"/>
        <v>37</v>
      </c>
      <c r="Y71" s="118">
        <f t="shared" si="1"/>
        <v>0</v>
      </c>
      <c r="Z71" s="345">
        <f>X71/M71*100</f>
        <v>61.666666666666671</v>
      </c>
      <c r="AA71" s="126"/>
      <c r="AB71" s="310">
        <f>I71+X71</f>
        <v>37</v>
      </c>
      <c r="AC71" s="302">
        <f>Y71+J71</f>
        <v>0</v>
      </c>
      <c r="AD71" s="374" t="e">
        <f t="shared" si="21"/>
        <v>#DIV/0!</v>
      </c>
      <c r="AE71" s="374" t="e">
        <f t="shared" si="21"/>
        <v>#DIV/0!</v>
      </c>
      <c r="AF71" s="340"/>
    </row>
    <row r="72" spans="1:41" s="72" customFormat="1" ht="83.25" hidden="1" customHeight="1" x14ac:dyDescent="0.25">
      <c r="A72" s="80"/>
      <c r="B72" s="382" t="s">
        <v>318</v>
      </c>
      <c r="C72" s="383" t="s">
        <v>307</v>
      </c>
      <c r="D72" s="384" t="s">
        <v>97</v>
      </c>
      <c r="E72" s="79" t="s">
        <v>319</v>
      </c>
      <c r="F72" s="80" t="s">
        <v>256</v>
      </c>
      <c r="G72" s="251"/>
      <c r="H72" s="252"/>
      <c r="I72" s="251"/>
      <c r="J72" s="252"/>
      <c r="K72" s="154">
        <f t="shared" ref="K72:Q72" si="22">SUM(K73:K78)</f>
        <v>308</v>
      </c>
      <c r="L72" s="385">
        <f t="shared" si="22"/>
        <v>232600</v>
      </c>
      <c r="M72" s="154">
        <f t="shared" si="22"/>
        <v>308</v>
      </c>
      <c r="N72" s="155">
        <f>SUM(N73:N78)</f>
        <v>231162.5</v>
      </c>
      <c r="O72" s="155">
        <f>SUM(O73:O78)</f>
        <v>215562.5</v>
      </c>
      <c r="P72" s="154">
        <f>SUM(P73:P78)-17</f>
        <v>23</v>
      </c>
      <c r="Q72" s="155">
        <f t="shared" si="22"/>
        <v>22320</v>
      </c>
      <c r="R72" s="154">
        <f>SUM(R73:R78)-4</f>
        <v>212</v>
      </c>
      <c r="S72" s="155">
        <f>SUM(S73:S78)</f>
        <v>60926</v>
      </c>
      <c r="T72" s="154"/>
      <c r="U72" s="227"/>
      <c r="V72" s="154"/>
      <c r="W72" s="157"/>
      <c r="X72" s="386">
        <f>SUM(X73:X78)</f>
        <v>250</v>
      </c>
      <c r="Y72" s="385">
        <f>SUM(Y73:Y78)</f>
        <v>83246</v>
      </c>
      <c r="Z72" s="273">
        <f>X72/M72*100</f>
        <v>81.168831168831161</v>
      </c>
      <c r="AA72" s="387">
        <f>Y72/N72*100</f>
        <v>36.011896393229868</v>
      </c>
      <c r="AB72" s="254"/>
      <c r="AC72" s="160"/>
      <c r="AD72" s="415"/>
      <c r="AE72" s="273"/>
      <c r="AF72" s="80"/>
    </row>
    <row r="73" spans="1:41" ht="51.75" hidden="1" customHeight="1" x14ac:dyDescent="0.25">
      <c r="A73" s="113">
        <v>23</v>
      </c>
      <c r="B73" s="388" t="s">
        <v>205</v>
      </c>
      <c r="C73" s="314" t="s">
        <v>320</v>
      </c>
      <c r="D73" s="389" t="s">
        <v>87</v>
      </c>
      <c r="E73" s="207" t="s">
        <v>98</v>
      </c>
      <c r="F73" s="113" t="s">
        <v>33</v>
      </c>
      <c r="G73" s="236">
        <v>215</v>
      </c>
      <c r="H73" s="175">
        <v>1375500</v>
      </c>
      <c r="I73" s="236">
        <f>12+50+29+13</f>
        <v>104</v>
      </c>
      <c r="J73" s="175">
        <f>256450+256848+243547+146639.6</f>
        <v>903484.6</v>
      </c>
      <c r="K73" s="119">
        <v>40</v>
      </c>
      <c r="L73" s="121">
        <v>35000</v>
      </c>
      <c r="M73" s="119">
        <v>40</v>
      </c>
      <c r="N73" s="121">
        <v>35000</v>
      </c>
      <c r="O73" s="169">
        <v>35000</v>
      </c>
      <c r="P73" s="119">
        <f>4+13</f>
        <v>17</v>
      </c>
      <c r="Q73" s="121">
        <v>6720</v>
      </c>
      <c r="R73" s="123">
        <v>4</v>
      </c>
      <c r="S73" s="124">
        <f>Y73-Q73</f>
        <v>1890</v>
      </c>
      <c r="T73" s="119"/>
      <c r="U73" s="136"/>
      <c r="V73" s="119"/>
      <c r="W73" s="136"/>
      <c r="X73" s="119">
        <f t="shared" ref="X73:Y96" si="23">P73+R73+T73+V73</f>
        <v>21</v>
      </c>
      <c r="Y73" s="121">
        <v>8610</v>
      </c>
      <c r="Z73" s="137">
        <f>X73/M73*100</f>
        <v>52.5</v>
      </c>
      <c r="AA73" s="173">
        <f>Y73/N73*100</f>
        <v>24.6</v>
      </c>
      <c r="AB73" s="138">
        <f>I73+X73</f>
        <v>125</v>
      </c>
      <c r="AC73" s="118">
        <f>Y73+J73</f>
        <v>912094.6</v>
      </c>
      <c r="AD73" s="128">
        <f>AB73/G73*100</f>
        <v>58.139534883720934</v>
      </c>
      <c r="AE73" s="128">
        <f>AC73/H73*100</f>
        <v>66.310039985459838</v>
      </c>
      <c r="AF73" s="113"/>
    </row>
    <row r="74" spans="1:41" ht="42.75" hidden="1" customHeight="1" x14ac:dyDescent="0.25">
      <c r="A74" s="291">
        <v>24</v>
      </c>
      <c r="B74" s="239" t="s">
        <v>206</v>
      </c>
      <c r="C74" s="348"/>
      <c r="D74" s="197" t="s">
        <v>99</v>
      </c>
      <c r="E74" s="390" t="s">
        <v>100</v>
      </c>
      <c r="F74" s="291" t="s">
        <v>33</v>
      </c>
      <c r="G74" s="117"/>
      <c r="H74" s="118"/>
      <c r="I74" s="117"/>
      <c r="J74" s="118"/>
      <c r="K74" s="335">
        <v>40</v>
      </c>
      <c r="L74" s="303">
        <v>6000</v>
      </c>
      <c r="M74" s="304">
        <v>40</v>
      </c>
      <c r="N74" s="303">
        <v>6000</v>
      </c>
      <c r="O74" s="303">
        <v>6000</v>
      </c>
      <c r="P74" s="304">
        <f>4+13</f>
        <v>17</v>
      </c>
      <c r="Q74" s="303">
        <v>0</v>
      </c>
      <c r="R74" s="305">
        <v>4</v>
      </c>
      <c r="S74" s="306">
        <v>6000</v>
      </c>
      <c r="T74" s="304"/>
      <c r="U74" s="307"/>
      <c r="V74" s="304"/>
      <c r="W74" s="373"/>
      <c r="X74" s="304">
        <f t="shared" si="23"/>
        <v>21</v>
      </c>
      <c r="Y74" s="303">
        <f t="shared" si="23"/>
        <v>6000</v>
      </c>
      <c r="Z74" s="391">
        <f>X74/M74*100</f>
        <v>52.5</v>
      </c>
      <c r="AA74" s="173">
        <f>Y74/N74*100</f>
        <v>100</v>
      </c>
      <c r="AB74" s="338">
        <f>I74+X74</f>
        <v>21</v>
      </c>
      <c r="AC74" s="302">
        <f>Y74+J74</f>
        <v>6000</v>
      </c>
      <c r="AD74" s="392" t="e">
        <f>AB74/G74*100</f>
        <v>#DIV/0!</v>
      </c>
      <c r="AE74" s="374" t="e">
        <f>AC74/H74*100</f>
        <v>#DIV/0!</v>
      </c>
      <c r="AF74" s="340"/>
    </row>
    <row r="75" spans="1:41" ht="70.5" hidden="1" customHeight="1" x14ac:dyDescent="0.25">
      <c r="A75" s="93"/>
      <c r="B75" s="388" t="s">
        <v>321</v>
      </c>
      <c r="C75" s="393" t="s">
        <v>295</v>
      </c>
      <c r="D75" s="394"/>
      <c r="E75" s="198"/>
      <c r="F75" s="316"/>
      <c r="G75" s="301"/>
      <c r="H75" s="302"/>
      <c r="I75" s="301"/>
      <c r="J75" s="302"/>
      <c r="K75" s="317"/>
      <c r="L75" s="103"/>
      <c r="M75" s="395"/>
      <c r="N75" s="396"/>
      <c r="O75" s="323"/>
      <c r="P75" s="101"/>
      <c r="Q75" s="103"/>
      <c r="R75" s="105"/>
      <c r="S75" s="106"/>
      <c r="T75" s="101"/>
      <c r="U75" s="107"/>
      <c r="V75" s="205"/>
      <c r="W75" s="107"/>
      <c r="X75" s="397"/>
      <c r="Y75" s="103"/>
      <c r="Z75" s="199"/>
      <c r="AA75" s="109" t="e">
        <f>Y75/N75*100</f>
        <v>#DIV/0!</v>
      </c>
      <c r="AB75" s="326"/>
      <c r="AC75" s="100">
        <f>Y75+J75</f>
        <v>0</v>
      </c>
      <c r="AD75" s="111"/>
      <c r="AE75" s="111"/>
      <c r="AF75" s="93"/>
    </row>
    <row r="76" spans="1:41" ht="70.5" hidden="1" customHeight="1" x14ac:dyDescent="0.25">
      <c r="A76" s="316">
        <v>25</v>
      </c>
      <c r="B76" s="398" t="s">
        <v>207</v>
      </c>
      <c r="C76" s="95" t="s">
        <v>322</v>
      </c>
      <c r="D76" s="399" t="s">
        <v>92</v>
      </c>
      <c r="E76" s="97" t="s">
        <v>101</v>
      </c>
      <c r="F76" s="98" t="s">
        <v>33</v>
      </c>
      <c r="G76" s="99">
        <v>324</v>
      </c>
      <c r="H76" s="100">
        <v>1055000</v>
      </c>
      <c r="I76" s="99">
        <f>60+100+160+210</f>
        <v>530</v>
      </c>
      <c r="J76" s="100">
        <f>82031+130850+407400+810819.1</f>
        <v>1431100.1</v>
      </c>
      <c r="K76" s="294">
        <v>20</v>
      </c>
      <c r="L76" s="103">
        <v>161600</v>
      </c>
      <c r="M76" s="237">
        <v>20</v>
      </c>
      <c r="N76" s="169">
        <v>30562.6</v>
      </c>
      <c r="O76" s="171">
        <v>30562.6</v>
      </c>
      <c r="P76" s="101">
        <v>0</v>
      </c>
      <c r="Q76" s="103">
        <v>15600</v>
      </c>
      <c r="R76" s="105">
        <v>2</v>
      </c>
      <c r="S76" s="106">
        <f>Y76-Q76</f>
        <v>23400</v>
      </c>
      <c r="T76" s="101"/>
      <c r="U76" s="107"/>
      <c r="V76" s="205"/>
      <c r="W76" s="296"/>
      <c r="X76" s="395">
        <f t="shared" si="23"/>
        <v>2</v>
      </c>
      <c r="Y76" s="103">
        <v>39000</v>
      </c>
      <c r="Z76" s="108">
        <f t="shared" ref="Z76:AA97" si="24">X76/M76*100</f>
        <v>10</v>
      </c>
      <c r="AA76" s="109">
        <f>Y76/N76*100</f>
        <v>127.60694443535563</v>
      </c>
      <c r="AB76" s="110">
        <f>I76+X76</f>
        <v>532</v>
      </c>
      <c r="AC76" s="103"/>
      <c r="AD76" s="111">
        <f t="shared" ref="AD76:AE79" si="25">AB76/G76*100</f>
        <v>164.19753086419752</v>
      </c>
      <c r="AE76" s="111">
        <f t="shared" si="25"/>
        <v>0</v>
      </c>
      <c r="AF76" s="93"/>
    </row>
    <row r="77" spans="1:41" ht="34.5" hidden="1" customHeight="1" x14ac:dyDescent="0.25">
      <c r="A77" s="342"/>
      <c r="B77" s="247"/>
      <c r="C77" s="400"/>
      <c r="D77" s="132"/>
      <c r="E77" s="97" t="s">
        <v>102</v>
      </c>
      <c r="F77" s="98" t="s">
        <v>33</v>
      </c>
      <c r="G77" s="117"/>
      <c r="H77" s="118"/>
      <c r="I77" s="117"/>
      <c r="J77" s="118"/>
      <c r="K77" s="294">
        <v>8</v>
      </c>
      <c r="L77" s="121"/>
      <c r="M77" s="294">
        <v>8</v>
      </c>
      <c r="N77" s="344">
        <v>129599.9</v>
      </c>
      <c r="O77" s="636">
        <v>113999.9</v>
      </c>
      <c r="P77" s="123">
        <v>6</v>
      </c>
      <c r="Q77" s="124"/>
      <c r="R77" s="123">
        <v>6</v>
      </c>
      <c r="S77" s="124"/>
      <c r="T77" s="123"/>
      <c r="U77" s="401"/>
      <c r="V77" s="402"/>
      <c r="W77" s="401"/>
      <c r="X77" s="403">
        <v>6</v>
      </c>
      <c r="Y77" s="118">
        <f t="shared" si="23"/>
        <v>0</v>
      </c>
      <c r="Z77" s="404">
        <f t="shared" si="24"/>
        <v>75</v>
      </c>
      <c r="AA77" s="126"/>
      <c r="AB77" s="127">
        <f>I77+X77</f>
        <v>6</v>
      </c>
      <c r="AC77" s="118">
        <f>Y77+J77</f>
        <v>0</v>
      </c>
      <c r="AD77" s="128" t="e">
        <f t="shared" si="25"/>
        <v>#DIV/0!</v>
      </c>
      <c r="AE77" s="128" t="e">
        <f t="shared" si="25"/>
        <v>#DIV/0!</v>
      </c>
      <c r="AF77" s="113"/>
    </row>
    <row r="78" spans="1:41" ht="88.5" hidden="1" customHeight="1" x14ac:dyDescent="0.25">
      <c r="A78" s="113">
        <v>26</v>
      </c>
      <c r="B78" s="378" t="s">
        <v>208</v>
      </c>
      <c r="C78" s="405"/>
      <c r="D78" s="132" t="s">
        <v>103</v>
      </c>
      <c r="E78" s="133" t="s">
        <v>323</v>
      </c>
      <c r="F78" s="134" t="s">
        <v>33</v>
      </c>
      <c r="G78" s="117"/>
      <c r="H78" s="118"/>
      <c r="I78" s="117"/>
      <c r="J78" s="118"/>
      <c r="K78" s="168">
        <v>200</v>
      </c>
      <c r="L78" s="121">
        <v>30000</v>
      </c>
      <c r="M78" s="168">
        <v>200</v>
      </c>
      <c r="N78" s="121">
        <v>30000</v>
      </c>
      <c r="O78" s="121">
        <v>30000</v>
      </c>
      <c r="P78" s="119">
        <v>0</v>
      </c>
      <c r="Q78" s="121">
        <v>0</v>
      </c>
      <c r="R78" s="123">
        <v>200</v>
      </c>
      <c r="S78" s="124">
        <v>29636</v>
      </c>
      <c r="T78" s="119"/>
      <c r="U78" s="125"/>
      <c r="V78" s="119"/>
      <c r="W78" s="125"/>
      <c r="X78" s="119">
        <f t="shared" si="23"/>
        <v>200</v>
      </c>
      <c r="Y78" s="121">
        <f t="shared" si="23"/>
        <v>29636</v>
      </c>
      <c r="Z78" s="137">
        <f t="shared" si="24"/>
        <v>100</v>
      </c>
      <c r="AA78" s="126">
        <f t="shared" si="24"/>
        <v>98.786666666666662</v>
      </c>
      <c r="AB78" s="138">
        <f>I78+X78</f>
        <v>200</v>
      </c>
      <c r="AC78" s="118">
        <f>Y78+J78</f>
        <v>29636</v>
      </c>
      <c r="AD78" s="139" t="e">
        <f t="shared" si="25"/>
        <v>#DIV/0!</v>
      </c>
      <c r="AE78" s="128" t="e">
        <f t="shared" si="25"/>
        <v>#DIV/0!</v>
      </c>
      <c r="AF78" s="113"/>
    </row>
    <row r="79" spans="1:41" s="72" customFormat="1" ht="33" hidden="1" customHeight="1" x14ac:dyDescent="0.25">
      <c r="A79" s="50" t="s">
        <v>8</v>
      </c>
      <c r="B79" s="406">
        <v>4.5891203703703705E-2</v>
      </c>
      <c r="C79" s="211" t="s">
        <v>324</v>
      </c>
      <c r="D79" s="53" t="s">
        <v>105</v>
      </c>
      <c r="E79" s="407" t="s">
        <v>106</v>
      </c>
      <c r="F79" s="55" t="s">
        <v>15</v>
      </c>
      <c r="G79" s="56">
        <v>1.01</v>
      </c>
      <c r="H79" s="57">
        <v>903200</v>
      </c>
      <c r="I79" s="66">
        <f>'[1]TW IV FIX'!$AB$92</f>
        <v>1.06</v>
      </c>
      <c r="J79" s="57">
        <f>'[1]TW IV FIX'!$AC$92</f>
        <v>536078.35</v>
      </c>
      <c r="K79" s="56">
        <v>1.01</v>
      </c>
      <c r="L79" s="57">
        <f>SUM(L81:L83)</f>
        <v>148207</v>
      </c>
      <c r="M79" s="56">
        <v>1.01</v>
      </c>
      <c r="N79" s="57">
        <f>SUM(N81:N83)</f>
        <v>148207</v>
      </c>
      <c r="O79" s="57">
        <f>SUM(O81:O83)</f>
        <v>148207</v>
      </c>
      <c r="P79" s="271">
        <f>I79+0.03</f>
        <v>1.0900000000000001</v>
      </c>
      <c r="Q79" s="142">
        <f>Q80</f>
        <v>0</v>
      </c>
      <c r="R79" s="270">
        <f>0.03</f>
        <v>0.03</v>
      </c>
      <c r="S79" s="142">
        <f>S80</f>
        <v>4766</v>
      </c>
      <c r="T79" s="270"/>
      <c r="U79" s="408"/>
      <c r="V79" s="270"/>
      <c r="W79" s="408"/>
      <c r="X79" s="419">
        <f t="shared" si="23"/>
        <v>1.1200000000000001</v>
      </c>
      <c r="Y79" s="142">
        <f>Q79+S79+U79+W79</f>
        <v>4766</v>
      </c>
      <c r="Z79" s="271">
        <f t="shared" si="24"/>
        <v>110.8910891089109</v>
      </c>
      <c r="AA79" s="60">
        <f t="shared" si="24"/>
        <v>3.2157725343607253</v>
      </c>
      <c r="AB79" s="271">
        <f>+X79</f>
        <v>1.1200000000000001</v>
      </c>
      <c r="AC79" s="142">
        <f>Y79+J79</f>
        <v>540844.35</v>
      </c>
      <c r="AD79" s="619">
        <f t="shared" si="25"/>
        <v>110.8910891089109</v>
      </c>
      <c r="AE79" s="271">
        <f t="shared" si="25"/>
        <v>59.880906775907881</v>
      </c>
      <c r="AF79" s="620"/>
    </row>
    <row r="80" spans="1:41" ht="43.5" hidden="1" customHeight="1" x14ac:dyDescent="0.25">
      <c r="A80" s="146"/>
      <c r="B80" s="409" t="s">
        <v>325</v>
      </c>
      <c r="C80" s="410"/>
      <c r="D80" s="411" t="s">
        <v>107</v>
      </c>
      <c r="E80" s="79" t="s">
        <v>326</v>
      </c>
      <c r="F80" s="80" t="s">
        <v>256</v>
      </c>
      <c r="G80" s="412"/>
      <c r="H80" s="413"/>
      <c r="I80" s="412"/>
      <c r="J80" s="413"/>
      <c r="K80" s="84">
        <f>SUM(K81:K83)</f>
        <v>115</v>
      </c>
      <c r="L80" s="85">
        <f>SUM(L81:L83)</f>
        <v>148207</v>
      </c>
      <c r="M80" s="84">
        <f>SUM(M81:M83)</f>
        <v>115</v>
      </c>
      <c r="N80" s="85">
        <f>SUM(N81:N83)</f>
        <v>148207</v>
      </c>
      <c r="O80" s="637">
        <f>SUM(O81:O83)</f>
        <v>148207</v>
      </c>
      <c r="P80" s="84">
        <v>19</v>
      </c>
      <c r="Q80" s="90">
        <f>SUM(Q81:Q83)</f>
        <v>0</v>
      </c>
      <c r="R80" s="84">
        <f>SUM(R81:R83)</f>
        <v>17</v>
      </c>
      <c r="S80" s="85">
        <f>SUM(S81:S83)</f>
        <v>4766</v>
      </c>
      <c r="T80" s="84"/>
      <c r="U80" s="86"/>
      <c r="V80" s="84"/>
      <c r="W80" s="84"/>
      <c r="X80" s="84">
        <f>SUM(X81:X83)</f>
        <v>36</v>
      </c>
      <c r="Y80" s="85">
        <f>SUM(Y81:Y83)</f>
        <v>4766</v>
      </c>
      <c r="Z80" s="414">
        <f t="shared" si="24"/>
        <v>31.304347826086961</v>
      </c>
      <c r="AA80" s="158">
        <f t="shared" si="24"/>
        <v>3.2157725343607253</v>
      </c>
      <c r="AB80" s="254"/>
      <c r="AC80" s="153"/>
      <c r="AD80" s="161"/>
      <c r="AE80" s="415"/>
      <c r="AF80" s="146"/>
      <c r="AN80" s="416">
        <f>19/66610*100</f>
        <v>2.8524245608767453E-2</v>
      </c>
      <c r="AO80" s="416">
        <f>17/66610*100</f>
        <v>2.552169343942351E-2</v>
      </c>
    </row>
    <row r="81" spans="1:32" ht="39" hidden="1" customHeight="1" x14ac:dyDescent="0.25">
      <c r="A81" s="98">
        <v>27</v>
      </c>
      <c r="B81" s="239" t="s">
        <v>209</v>
      </c>
      <c r="C81" s="314" t="s">
        <v>327</v>
      </c>
      <c r="D81" s="165" t="s">
        <v>108</v>
      </c>
      <c r="E81" s="133" t="s">
        <v>109</v>
      </c>
      <c r="F81" s="98" t="s">
        <v>33</v>
      </c>
      <c r="G81" s="236">
        <v>585</v>
      </c>
      <c r="H81" s="175">
        <v>703200</v>
      </c>
      <c r="I81" s="236">
        <f>36+86+98+0</f>
        <v>220</v>
      </c>
      <c r="J81" s="175">
        <f>62767+142804+152090+0</f>
        <v>357661</v>
      </c>
      <c r="K81" s="168">
        <v>55</v>
      </c>
      <c r="L81" s="169">
        <v>21541</v>
      </c>
      <c r="M81" s="237">
        <v>55</v>
      </c>
      <c r="N81" s="169">
        <v>21541</v>
      </c>
      <c r="O81" s="169">
        <v>21541</v>
      </c>
      <c r="P81" s="168">
        <f>0+11+8</f>
        <v>19</v>
      </c>
      <c r="Q81" s="169">
        <v>0</v>
      </c>
      <c r="R81" s="170">
        <v>13</v>
      </c>
      <c r="S81" s="171">
        <v>4280</v>
      </c>
      <c r="T81" s="168"/>
      <c r="U81" s="241"/>
      <c r="V81" s="168"/>
      <c r="W81" s="241"/>
      <c r="X81" s="168">
        <f t="shared" si="23"/>
        <v>32</v>
      </c>
      <c r="Y81" s="169">
        <f t="shared" si="23"/>
        <v>4280</v>
      </c>
      <c r="Z81" s="172">
        <f t="shared" si="24"/>
        <v>58.18181818181818</v>
      </c>
      <c r="AA81" s="173">
        <f t="shared" si="24"/>
        <v>19.869086857620353</v>
      </c>
      <c r="AB81" s="243">
        <f>I81+X81</f>
        <v>252</v>
      </c>
      <c r="AC81" s="175">
        <f>Y81+J81</f>
        <v>361941</v>
      </c>
      <c r="AD81" s="176">
        <f t="shared" ref="AD81:AE84" si="26">AB81/G81*100</f>
        <v>43.07692307692308</v>
      </c>
      <c r="AE81" s="244">
        <f t="shared" si="26"/>
        <v>51.470563139931734</v>
      </c>
      <c r="AF81" s="134"/>
    </row>
    <row r="82" spans="1:32" ht="33.75" hidden="1" customHeight="1" x14ac:dyDescent="0.25">
      <c r="A82" s="98">
        <v>28</v>
      </c>
      <c r="B82" s="239" t="s">
        <v>210</v>
      </c>
      <c r="C82" s="347"/>
      <c r="D82" s="165" t="s">
        <v>110</v>
      </c>
      <c r="E82" s="133" t="s">
        <v>111</v>
      </c>
      <c r="F82" s="98" t="s">
        <v>33</v>
      </c>
      <c r="G82" s="166"/>
      <c r="H82" s="167"/>
      <c r="I82" s="166"/>
      <c r="J82" s="167"/>
      <c r="K82" s="168">
        <v>30</v>
      </c>
      <c r="L82" s="169">
        <v>11666</v>
      </c>
      <c r="M82" s="237">
        <v>30</v>
      </c>
      <c r="N82" s="169">
        <v>11666</v>
      </c>
      <c r="O82" s="169">
        <v>11666</v>
      </c>
      <c r="P82" s="168">
        <f>0+0</f>
        <v>0</v>
      </c>
      <c r="Q82" s="169">
        <v>0</v>
      </c>
      <c r="R82" s="170">
        <v>4</v>
      </c>
      <c r="S82" s="171">
        <v>486</v>
      </c>
      <c r="T82" s="168"/>
      <c r="U82" s="241"/>
      <c r="V82" s="168"/>
      <c r="W82" s="241"/>
      <c r="X82" s="168">
        <f t="shared" si="23"/>
        <v>4</v>
      </c>
      <c r="Y82" s="169">
        <f t="shared" si="23"/>
        <v>486</v>
      </c>
      <c r="Z82" s="172">
        <f t="shared" si="24"/>
        <v>13.333333333333334</v>
      </c>
      <c r="AA82" s="173">
        <f t="shared" si="24"/>
        <v>4.165952340133722</v>
      </c>
      <c r="AB82" s="243">
        <f>I82+X82</f>
        <v>4</v>
      </c>
      <c r="AC82" s="175">
        <f>Y82+J82</f>
        <v>486</v>
      </c>
      <c r="AD82" s="176" t="e">
        <f t="shared" si="26"/>
        <v>#DIV/0!</v>
      </c>
      <c r="AE82" s="244" t="e">
        <f t="shared" si="26"/>
        <v>#DIV/0!</v>
      </c>
      <c r="AF82" s="134"/>
    </row>
    <row r="83" spans="1:32" ht="46.5" hidden="1" customHeight="1" x14ac:dyDescent="0.25">
      <c r="A83" s="98">
        <v>29</v>
      </c>
      <c r="B83" s="239" t="s">
        <v>211</v>
      </c>
      <c r="C83" s="348"/>
      <c r="D83" s="165" t="s">
        <v>112</v>
      </c>
      <c r="E83" s="133" t="s">
        <v>113</v>
      </c>
      <c r="F83" s="98" t="s">
        <v>33</v>
      </c>
      <c r="G83" s="166"/>
      <c r="H83" s="167"/>
      <c r="I83" s="166"/>
      <c r="J83" s="167"/>
      <c r="K83" s="168">
        <v>30</v>
      </c>
      <c r="L83" s="169">
        <v>115000</v>
      </c>
      <c r="M83" s="237">
        <v>30</v>
      </c>
      <c r="N83" s="169">
        <v>115000</v>
      </c>
      <c r="O83" s="169">
        <v>115000</v>
      </c>
      <c r="P83" s="168">
        <f>0+0</f>
        <v>0</v>
      </c>
      <c r="Q83" s="169">
        <v>0</v>
      </c>
      <c r="R83" s="170">
        <v>0</v>
      </c>
      <c r="S83" s="171">
        <v>0</v>
      </c>
      <c r="T83" s="168"/>
      <c r="U83" s="241"/>
      <c r="V83" s="168"/>
      <c r="W83" s="173"/>
      <c r="X83" s="168">
        <f t="shared" si="23"/>
        <v>0</v>
      </c>
      <c r="Y83" s="169">
        <f t="shared" si="23"/>
        <v>0</v>
      </c>
      <c r="Z83" s="172">
        <f t="shared" si="24"/>
        <v>0</v>
      </c>
      <c r="AA83" s="173">
        <f t="shared" si="24"/>
        <v>0</v>
      </c>
      <c r="AB83" s="243">
        <f>I83+X83</f>
        <v>0</v>
      </c>
      <c r="AC83" s="175">
        <f>Y83+J83</f>
        <v>0</v>
      </c>
      <c r="AD83" s="176" t="e">
        <f t="shared" si="26"/>
        <v>#DIV/0!</v>
      </c>
      <c r="AE83" s="244" t="e">
        <f t="shared" si="26"/>
        <v>#DIV/0!</v>
      </c>
      <c r="AF83" s="134"/>
    </row>
    <row r="84" spans="1:32" s="72" customFormat="1" ht="45.75" hidden="1" customHeight="1" x14ac:dyDescent="0.25">
      <c r="A84" s="50"/>
      <c r="B84" s="417">
        <v>4.5891203703703705E-2</v>
      </c>
      <c r="C84" s="418" t="s">
        <v>307</v>
      </c>
      <c r="D84" s="53" t="s">
        <v>105</v>
      </c>
      <c r="E84" s="407" t="s">
        <v>114</v>
      </c>
      <c r="F84" s="55" t="s">
        <v>15</v>
      </c>
      <c r="G84" s="419">
        <v>0.33</v>
      </c>
      <c r="H84" s="420">
        <v>8250500</v>
      </c>
      <c r="I84" s="421">
        <f>'[1]TW IV FIX'!$AB$97</f>
        <v>0.39</v>
      </c>
      <c r="J84" s="420">
        <f>'[1]TW IV FIX'!$AC$97</f>
        <v>1808914</v>
      </c>
      <c r="K84" s="419">
        <v>0.33</v>
      </c>
      <c r="L84" s="420">
        <f>L85</f>
        <v>374699.9</v>
      </c>
      <c r="M84" s="56">
        <v>0.33</v>
      </c>
      <c r="N84" s="57">
        <f>N85</f>
        <v>372612.4</v>
      </c>
      <c r="O84" s="57">
        <f>O85</f>
        <v>1273198.8999999999</v>
      </c>
      <c r="P84" s="66">
        <v>0.39</v>
      </c>
      <c r="Q84" s="57">
        <v>0</v>
      </c>
      <c r="R84" s="270">
        <v>0.01</v>
      </c>
      <c r="S84" s="142">
        <f>S85</f>
        <v>218599.1</v>
      </c>
      <c r="T84" s="270"/>
      <c r="U84" s="260"/>
      <c r="V84" s="270"/>
      <c r="W84" s="260"/>
      <c r="X84" s="60">
        <f>P84+R84+T84+V84</f>
        <v>0.4</v>
      </c>
      <c r="Y84" s="57">
        <f>Q84+S84+U84+W84</f>
        <v>218599.1</v>
      </c>
      <c r="Z84" s="66">
        <f t="shared" si="24"/>
        <v>121.21212121212122</v>
      </c>
      <c r="AA84" s="60">
        <f t="shared" si="24"/>
        <v>58.666619790431021</v>
      </c>
      <c r="AB84" s="66">
        <v>0.39</v>
      </c>
      <c r="AC84" s="57">
        <f>Y84+J84</f>
        <v>2027513.1</v>
      </c>
      <c r="AD84" s="618">
        <f t="shared" si="26"/>
        <v>118.18181818181819</v>
      </c>
      <c r="AE84" s="66">
        <f t="shared" si="26"/>
        <v>24.574427004423978</v>
      </c>
      <c r="AF84" s="55"/>
    </row>
    <row r="85" spans="1:32" ht="53.25" hidden="1" customHeight="1" x14ac:dyDescent="0.25">
      <c r="A85" s="146"/>
      <c r="B85" s="422" t="s">
        <v>328</v>
      </c>
      <c r="C85" s="193"/>
      <c r="D85" s="149" t="s">
        <v>115</v>
      </c>
      <c r="E85" s="79" t="s">
        <v>329</v>
      </c>
      <c r="F85" s="80" t="s">
        <v>19</v>
      </c>
      <c r="G85" s="150"/>
      <c r="H85" s="151"/>
      <c r="I85" s="150"/>
      <c r="J85" s="151"/>
      <c r="K85" s="154">
        <f>SUM(K86:K87)</f>
        <v>27</v>
      </c>
      <c r="L85" s="155">
        <f>SUM(L86:L89)</f>
        <v>374699.9</v>
      </c>
      <c r="M85" s="154">
        <v>75</v>
      </c>
      <c r="N85" s="155">
        <f>SUM(N87:N91)</f>
        <v>372612.4</v>
      </c>
      <c r="O85" s="155">
        <f>SUM(O87:O91)</f>
        <v>1273198.8999999999</v>
      </c>
      <c r="P85" s="154">
        <v>3</v>
      </c>
      <c r="Q85" s="155">
        <f>SUM(Q87:Q89)</f>
        <v>0</v>
      </c>
      <c r="R85" s="154">
        <v>21</v>
      </c>
      <c r="S85" s="155">
        <f>SUM(S87:S89)</f>
        <v>218599.1</v>
      </c>
      <c r="T85" s="157"/>
      <c r="U85" s="157"/>
      <c r="V85" s="157"/>
      <c r="W85" s="157"/>
      <c r="X85" s="154">
        <f>SUM(X86:X87)</f>
        <v>24</v>
      </c>
      <c r="Y85" s="155">
        <f>SUM(Y87:Y89)</f>
        <v>218599.1</v>
      </c>
      <c r="Z85" s="273">
        <f t="shared" si="24"/>
        <v>32</v>
      </c>
      <c r="AA85" s="230">
        <f t="shared" si="24"/>
        <v>58.666619790431021</v>
      </c>
      <c r="AB85" s="254"/>
      <c r="AC85" s="160"/>
      <c r="AD85" s="161"/>
      <c r="AE85" s="415"/>
      <c r="AF85" s="146"/>
    </row>
    <row r="86" spans="1:32" ht="48" hidden="1" customHeight="1" x14ac:dyDescent="0.25">
      <c r="A86" s="93"/>
      <c r="B86" s="639"/>
      <c r="C86" s="196" t="s">
        <v>330</v>
      </c>
      <c r="D86" s="197" t="s">
        <v>116</v>
      </c>
      <c r="E86" s="133" t="s">
        <v>117</v>
      </c>
      <c r="F86" s="134" t="s">
        <v>19</v>
      </c>
      <c r="G86" s="236">
        <v>5</v>
      </c>
      <c r="H86" s="175">
        <v>350000</v>
      </c>
      <c r="I86" s="236">
        <v>4</v>
      </c>
      <c r="J86" s="175">
        <f>124885+45579+0+4700</f>
        <v>175164</v>
      </c>
      <c r="K86" s="168">
        <v>2</v>
      </c>
      <c r="L86" s="169">
        <v>0</v>
      </c>
      <c r="M86" s="168">
        <v>0</v>
      </c>
      <c r="N86" s="169">
        <v>0</v>
      </c>
      <c r="O86" s="241"/>
      <c r="P86" s="168">
        <v>0</v>
      </c>
      <c r="Q86" s="169"/>
      <c r="R86" s="170"/>
      <c r="S86" s="171"/>
      <c r="T86" s="168"/>
      <c r="U86" s="241"/>
      <c r="V86" s="168"/>
      <c r="W86" s="135"/>
      <c r="X86" s="168">
        <f t="shared" si="23"/>
        <v>0</v>
      </c>
      <c r="Y86" s="169">
        <f t="shared" si="23"/>
        <v>0</v>
      </c>
      <c r="Z86" s="172" t="e">
        <f t="shared" si="24"/>
        <v>#DIV/0!</v>
      </c>
      <c r="AA86" s="423" t="e">
        <f t="shared" si="24"/>
        <v>#DIV/0!</v>
      </c>
      <c r="AB86" s="243">
        <f>I86+X86</f>
        <v>4</v>
      </c>
      <c r="AC86" s="175">
        <f>Y86+J86</f>
        <v>175164</v>
      </c>
      <c r="AD86" s="176">
        <f>AB86/G86*100</f>
        <v>80</v>
      </c>
      <c r="AE86" s="244">
        <f>AC86/H86*100</f>
        <v>50.046857142857135</v>
      </c>
      <c r="AF86" s="134"/>
    </row>
    <row r="87" spans="1:32" ht="51.75" hidden="1" customHeight="1" x14ac:dyDescent="0.25">
      <c r="A87" s="93">
        <v>30</v>
      </c>
      <c r="B87" s="639" t="s">
        <v>212</v>
      </c>
      <c r="C87" s="293" t="s">
        <v>331</v>
      </c>
      <c r="D87" s="197" t="s">
        <v>115</v>
      </c>
      <c r="E87" s="97" t="s">
        <v>118</v>
      </c>
      <c r="F87" s="264" t="s">
        <v>19</v>
      </c>
      <c r="G87" s="236">
        <v>5</v>
      </c>
      <c r="H87" s="175">
        <v>1775000</v>
      </c>
      <c r="I87" s="236">
        <v>4</v>
      </c>
      <c r="J87" s="175">
        <f>0+1566990+0+0</f>
        <v>1566990</v>
      </c>
      <c r="K87" s="168">
        <v>25</v>
      </c>
      <c r="L87" s="169">
        <v>150000</v>
      </c>
      <c r="M87" s="168">
        <v>25</v>
      </c>
      <c r="N87" s="169">
        <v>147912.5</v>
      </c>
      <c r="O87" s="169">
        <v>145223</v>
      </c>
      <c r="P87" s="168">
        <v>3</v>
      </c>
      <c r="Q87" s="169">
        <v>0</v>
      </c>
      <c r="R87" s="170">
        <v>21</v>
      </c>
      <c r="S87" s="171">
        <v>0</v>
      </c>
      <c r="T87" s="168"/>
      <c r="U87" s="241"/>
      <c r="V87" s="168"/>
      <c r="W87" s="241"/>
      <c r="X87" s="168">
        <f t="shared" si="23"/>
        <v>24</v>
      </c>
      <c r="Y87" s="169">
        <f t="shared" si="23"/>
        <v>0</v>
      </c>
      <c r="Z87" s="172">
        <f t="shared" si="24"/>
        <v>96</v>
      </c>
      <c r="AA87" s="173">
        <f t="shared" si="24"/>
        <v>0</v>
      </c>
      <c r="AB87" s="243">
        <f>I87+X87</f>
        <v>28</v>
      </c>
      <c r="AC87" s="175">
        <f>Y87+J87</f>
        <v>1566990</v>
      </c>
      <c r="AD87" s="176">
        <f>AB87/G87*100</f>
        <v>560</v>
      </c>
      <c r="AE87" s="244">
        <f>AC87/H87*100</f>
        <v>88.281126760563382</v>
      </c>
      <c r="AF87" s="134"/>
    </row>
    <row r="88" spans="1:32" ht="51.75" hidden="1" customHeight="1" x14ac:dyDescent="0.25">
      <c r="A88" s="113"/>
      <c r="B88" s="641"/>
      <c r="C88" s="293"/>
      <c r="D88" s="132"/>
      <c r="E88" s="97" t="s">
        <v>398</v>
      </c>
      <c r="F88" s="264" t="s">
        <v>33</v>
      </c>
      <c r="G88" s="236"/>
      <c r="H88" s="175"/>
      <c r="I88" s="236"/>
      <c r="J88" s="175"/>
      <c r="K88" s="168"/>
      <c r="L88" s="169"/>
      <c r="M88" s="168">
        <v>284</v>
      </c>
      <c r="N88" s="169">
        <v>0</v>
      </c>
      <c r="O88" s="169">
        <v>113000</v>
      </c>
      <c r="P88" s="168">
        <v>0</v>
      </c>
      <c r="Q88" s="169">
        <v>0</v>
      </c>
      <c r="R88" s="170">
        <v>0</v>
      </c>
      <c r="S88" s="171">
        <v>0</v>
      </c>
      <c r="T88" s="168"/>
      <c r="U88" s="241"/>
      <c r="V88" s="168"/>
      <c r="W88" s="241"/>
      <c r="X88" s="168">
        <f t="shared" si="23"/>
        <v>0</v>
      </c>
      <c r="Y88" s="169">
        <f t="shared" si="23"/>
        <v>0</v>
      </c>
      <c r="Z88" s="172">
        <f t="shared" si="24"/>
        <v>0</v>
      </c>
      <c r="AA88" s="173" t="e">
        <f t="shared" si="24"/>
        <v>#DIV/0!</v>
      </c>
      <c r="AB88" s="243"/>
      <c r="AC88" s="175"/>
      <c r="AD88" s="176"/>
      <c r="AE88" s="244"/>
      <c r="AF88" s="134"/>
    </row>
    <row r="89" spans="1:32" ht="71.25" customHeight="1" x14ac:dyDescent="0.25">
      <c r="A89" s="93">
        <v>31</v>
      </c>
      <c r="B89" s="639" t="s">
        <v>332</v>
      </c>
      <c r="C89" s="293"/>
      <c r="D89" s="197" t="s">
        <v>333</v>
      </c>
      <c r="E89" s="97" t="s">
        <v>334</v>
      </c>
      <c r="F89" s="264" t="s">
        <v>33</v>
      </c>
      <c r="G89" s="236"/>
      <c r="H89" s="175"/>
      <c r="I89" s="236"/>
      <c r="J89" s="175"/>
      <c r="K89" s="168">
        <v>100</v>
      </c>
      <c r="L89" s="169">
        <v>224699.9</v>
      </c>
      <c r="M89" s="168">
        <v>50</v>
      </c>
      <c r="N89" s="169">
        <v>224699.9</v>
      </c>
      <c r="O89" s="169">
        <v>224699.9</v>
      </c>
      <c r="P89" s="168">
        <v>0</v>
      </c>
      <c r="Q89" s="169">
        <v>0</v>
      </c>
      <c r="R89" s="170">
        <v>50</v>
      </c>
      <c r="S89" s="171">
        <v>218599.1</v>
      </c>
      <c r="T89" s="168"/>
      <c r="U89" s="241"/>
      <c r="V89" s="168"/>
      <c r="W89" s="241"/>
      <c r="X89" s="168">
        <f t="shared" si="23"/>
        <v>50</v>
      </c>
      <c r="Y89" s="169">
        <f t="shared" si="23"/>
        <v>218599.1</v>
      </c>
      <c r="Z89" s="172">
        <f t="shared" si="24"/>
        <v>100</v>
      </c>
      <c r="AA89" s="173">
        <f t="shared" si="24"/>
        <v>97.284912009306652</v>
      </c>
      <c r="AB89" s="243"/>
      <c r="AC89" s="175"/>
      <c r="AD89" s="176"/>
      <c r="AE89" s="244"/>
      <c r="AF89" s="134"/>
    </row>
    <row r="90" spans="1:32" ht="71.25" customHeight="1" x14ac:dyDescent="0.25">
      <c r="A90" s="340"/>
      <c r="B90" s="642"/>
      <c r="C90" s="293"/>
      <c r="D90" s="300"/>
      <c r="E90" s="97" t="s">
        <v>399</v>
      </c>
      <c r="F90" s="264" t="s">
        <v>33</v>
      </c>
      <c r="G90" s="236"/>
      <c r="H90" s="175"/>
      <c r="I90" s="236"/>
      <c r="J90" s="175"/>
      <c r="K90" s="168"/>
      <c r="L90" s="169"/>
      <c r="M90" s="168">
        <v>582</v>
      </c>
      <c r="N90" s="169">
        <v>0</v>
      </c>
      <c r="O90" s="169">
        <v>411076</v>
      </c>
      <c r="P90" s="168">
        <v>0</v>
      </c>
      <c r="Q90" s="169">
        <v>0</v>
      </c>
      <c r="R90" s="170">
        <v>0</v>
      </c>
      <c r="S90" s="171">
        <v>0</v>
      </c>
      <c r="T90" s="168"/>
      <c r="U90" s="241"/>
      <c r="V90" s="168"/>
      <c r="W90" s="241"/>
      <c r="X90" s="168"/>
      <c r="Y90" s="169">
        <f t="shared" si="23"/>
        <v>0</v>
      </c>
      <c r="Z90" s="172">
        <f t="shared" si="24"/>
        <v>0</v>
      </c>
      <c r="AA90" s="173" t="e">
        <f t="shared" si="24"/>
        <v>#DIV/0!</v>
      </c>
      <c r="AB90" s="243"/>
      <c r="AC90" s="175"/>
      <c r="AD90" s="176"/>
      <c r="AE90" s="244"/>
      <c r="AF90" s="134"/>
    </row>
    <row r="91" spans="1:32" ht="75.75" customHeight="1" x14ac:dyDescent="0.25">
      <c r="A91" s="113"/>
      <c r="B91" s="641"/>
      <c r="C91" s="293"/>
      <c r="D91" s="132"/>
      <c r="E91" s="97" t="s">
        <v>400</v>
      </c>
      <c r="F91" s="264" t="s">
        <v>33</v>
      </c>
      <c r="G91" s="236"/>
      <c r="H91" s="175"/>
      <c r="I91" s="236"/>
      <c r="J91" s="175"/>
      <c r="K91" s="168"/>
      <c r="L91" s="169"/>
      <c r="M91" s="168">
        <v>582</v>
      </c>
      <c r="N91" s="169">
        <v>0</v>
      </c>
      <c r="O91" s="169">
        <v>379200</v>
      </c>
      <c r="P91" s="168">
        <v>0</v>
      </c>
      <c r="Q91" s="169">
        <v>0</v>
      </c>
      <c r="R91" s="170">
        <v>0</v>
      </c>
      <c r="S91" s="171">
        <v>0</v>
      </c>
      <c r="T91" s="168"/>
      <c r="U91" s="241"/>
      <c r="V91" s="168"/>
      <c r="W91" s="241"/>
      <c r="X91" s="168"/>
      <c r="Y91" s="169">
        <f t="shared" si="23"/>
        <v>0</v>
      </c>
      <c r="Z91" s="172">
        <f t="shared" si="24"/>
        <v>0</v>
      </c>
      <c r="AA91" s="173" t="e">
        <f t="shared" si="24"/>
        <v>#DIV/0!</v>
      </c>
      <c r="AB91" s="243"/>
      <c r="AC91" s="175"/>
      <c r="AD91" s="176"/>
      <c r="AE91" s="244"/>
      <c r="AF91" s="134"/>
    </row>
    <row r="92" spans="1:32" ht="75.75" customHeight="1" x14ac:dyDescent="0.25">
      <c r="A92" s="113"/>
      <c r="B92" s="641"/>
      <c r="C92" s="293"/>
      <c r="D92" s="132"/>
      <c r="E92" s="97"/>
      <c r="F92" s="264"/>
      <c r="G92" s="236"/>
      <c r="H92" s="175"/>
      <c r="I92" s="236"/>
      <c r="J92" s="175"/>
      <c r="K92" s="168"/>
      <c r="L92" s="169"/>
      <c r="M92" s="168"/>
      <c r="N92" s="169"/>
      <c r="O92" s="169"/>
      <c r="P92" s="168"/>
      <c r="Q92" s="169"/>
      <c r="R92" s="170"/>
      <c r="S92" s="171"/>
      <c r="T92" s="168"/>
      <c r="U92" s="241"/>
      <c r="V92" s="168"/>
      <c r="W92" s="241"/>
      <c r="X92" s="168"/>
      <c r="Y92" s="169"/>
      <c r="Z92" s="172"/>
      <c r="AA92" s="173"/>
      <c r="AB92" s="243"/>
      <c r="AC92" s="175"/>
      <c r="AD92" s="176"/>
      <c r="AE92" s="244"/>
      <c r="AF92" s="134"/>
    </row>
    <row r="93" spans="1:32" ht="75.75" customHeight="1" x14ac:dyDescent="0.25">
      <c r="A93" s="113"/>
      <c r="B93" s="641"/>
      <c r="C93" s="293"/>
      <c r="D93" s="132"/>
      <c r="E93" s="97"/>
      <c r="F93" s="264"/>
      <c r="G93" s="236"/>
      <c r="H93" s="175"/>
      <c r="I93" s="236"/>
      <c r="J93" s="175"/>
      <c r="K93" s="168"/>
      <c r="L93" s="169"/>
      <c r="M93" s="168"/>
      <c r="N93" s="169"/>
      <c r="O93" s="169"/>
      <c r="P93" s="168"/>
      <c r="Q93" s="169"/>
      <c r="R93" s="170"/>
      <c r="S93" s="171"/>
      <c r="T93" s="168"/>
      <c r="U93" s="241"/>
      <c r="V93" s="168"/>
      <c r="W93" s="241"/>
      <c r="X93" s="168"/>
      <c r="Y93" s="169"/>
      <c r="Z93" s="172"/>
      <c r="AA93" s="173"/>
      <c r="AB93" s="243"/>
      <c r="AC93" s="175"/>
      <c r="AD93" s="176"/>
      <c r="AE93" s="244"/>
      <c r="AF93" s="134"/>
    </row>
    <row r="94" spans="1:32" s="72" customFormat="1" ht="48" customHeight="1" x14ac:dyDescent="0.25">
      <c r="A94" s="640" t="s">
        <v>119</v>
      </c>
      <c r="B94" s="417">
        <v>4.5902777777777772E-2</v>
      </c>
      <c r="C94" s="211" t="s">
        <v>307</v>
      </c>
      <c r="D94" s="210" t="s">
        <v>120</v>
      </c>
      <c r="E94" s="54" t="s">
        <v>376</v>
      </c>
      <c r="F94" s="55" t="s">
        <v>15</v>
      </c>
      <c r="G94" s="56">
        <v>100</v>
      </c>
      <c r="H94" s="57">
        <v>1725000</v>
      </c>
      <c r="I94" s="66">
        <v>100</v>
      </c>
      <c r="J94" s="57">
        <f>'[1]TW IV FIX'!$AC$101</f>
        <v>1738459.8659999999</v>
      </c>
      <c r="K94" s="56">
        <v>100</v>
      </c>
      <c r="L94" s="57">
        <f>L95</f>
        <v>479999.75</v>
      </c>
      <c r="M94" s="56">
        <v>100</v>
      </c>
      <c r="N94" s="57">
        <f>N95</f>
        <v>479999.75</v>
      </c>
      <c r="O94" s="57">
        <f>O95</f>
        <v>438978.35</v>
      </c>
      <c r="P94" s="424">
        <v>25</v>
      </c>
      <c r="Q94" s="57">
        <v>0</v>
      </c>
      <c r="R94" s="269">
        <v>25</v>
      </c>
      <c r="S94" s="142">
        <f>S95</f>
        <v>0</v>
      </c>
      <c r="T94" s="260"/>
      <c r="U94" s="260"/>
      <c r="V94" s="260"/>
      <c r="W94" s="260"/>
      <c r="X94" s="58">
        <f>P94+R94+T94+V94</f>
        <v>50</v>
      </c>
      <c r="Y94" s="57">
        <f>SUM(Y96)</f>
        <v>0</v>
      </c>
      <c r="Z94" s="425">
        <f t="shared" si="24"/>
        <v>50</v>
      </c>
      <c r="AA94" s="60">
        <f t="shared" si="24"/>
        <v>0</v>
      </c>
      <c r="AB94" s="621">
        <v>100</v>
      </c>
      <c r="AC94" s="57">
        <f>Y94+J94</f>
        <v>1738459.8659999999</v>
      </c>
      <c r="AD94" s="618">
        <f>AB94/G94*100</f>
        <v>100</v>
      </c>
      <c r="AE94" s="66">
        <f>AC94/H94*100</f>
        <v>100.7802820869565</v>
      </c>
      <c r="AF94" s="55"/>
    </row>
    <row r="95" spans="1:32" ht="58.5" customHeight="1" x14ac:dyDescent="0.25">
      <c r="A95" s="146"/>
      <c r="B95" s="426" t="s">
        <v>335</v>
      </c>
      <c r="C95" s="193"/>
      <c r="D95" s="149" t="s">
        <v>121</v>
      </c>
      <c r="E95" s="79" t="s">
        <v>336</v>
      </c>
      <c r="F95" s="80" t="s">
        <v>256</v>
      </c>
      <c r="G95" s="150"/>
      <c r="H95" s="151"/>
      <c r="I95" s="150"/>
      <c r="J95" s="151"/>
      <c r="K95" s="154">
        <v>1000</v>
      </c>
      <c r="L95" s="155">
        <f>L96+L97</f>
        <v>479999.75</v>
      </c>
      <c r="M95" s="154">
        <v>1040</v>
      </c>
      <c r="N95" s="155">
        <f>N96+N97</f>
        <v>479999.75</v>
      </c>
      <c r="O95" s="155">
        <f>O96+O97</f>
        <v>438978.35</v>
      </c>
      <c r="P95" s="154">
        <f>828+36+1308+12+132</f>
        <v>2316</v>
      </c>
      <c r="Q95" s="153">
        <f>SUM(Q96:Q97)</f>
        <v>0</v>
      </c>
      <c r="R95" s="154">
        <v>645</v>
      </c>
      <c r="S95" s="155">
        <f>SUM(S96:S97)</f>
        <v>0</v>
      </c>
      <c r="T95" s="154"/>
      <c r="U95" s="154"/>
      <c r="V95" s="154"/>
      <c r="W95" s="154"/>
      <c r="X95" s="154">
        <f>P95+R95+T95+V95</f>
        <v>2961</v>
      </c>
      <c r="Y95" s="155">
        <f>SUM(Y96:Y97)</f>
        <v>0</v>
      </c>
      <c r="Z95" s="273">
        <f t="shared" si="24"/>
        <v>284.71153846153845</v>
      </c>
      <c r="AA95" s="158">
        <f t="shared" si="24"/>
        <v>0</v>
      </c>
      <c r="AB95" s="415"/>
      <c r="AC95" s="153"/>
      <c r="AD95" s="415"/>
      <c r="AE95" s="415"/>
      <c r="AF95" s="146"/>
    </row>
    <row r="96" spans="1:32" ht="72" customHeight="1" x14ac:dyDescent="0.25">
      <c r="A96" s="134">
        <v>32</v>
      </c>
      <c r="B96" s="239" t="s">
        <v>213</v>
      </c>
      <c r="C96" s="196" t="s">
        <v>337</v>
      </c>
      <c r="D96" s="165" t="s">
        <v>122</v>
      </c>
      <c r="E96" s="133" t="s">
        <v>123</v>
      </c>
      <c r="F96" s="134" t="s">
        <v>104</v>
      </c>
      <c r="G96" s="236">
        <v>3650</v>
      </c>
      <c r="H96" s="175">
        <v>1725000</v>
      </c>
      <c r="I96" s="236">
        <f>100+500+1740+1298</f>
        <v>3638</v>
      </c>
      <c r="J96" s="175">
        <f>127526+117784+399610+757874.866</f>
        <v>1402794.8659999999</v>
      </c>
      <c r="K96" s="168">
        <v>1000</v>
      </c>
      <c r="L96" s="169">
        <v>400000</v>
      </c>
      <c r="M96" s="168">
        <v>1000</v>
      </c>
      <c r="N96" s="169">
        <v>400000</v>
      </c>
      <c r="O96" s="169">
        <v>400000</v>
      </c>
      <c r="P96" s="168">
        <f>69+3+109+1+11</f>
        <v>193</v>
      </c>
      <c r="Q96" s="169">
        <v>0</v>
      </c>
      <c r="R96" s="170">
        <v>215</v>
      </c>
      <c r="S96" s="171">
        <v>0</v>
      </c>
      <c r="T96" s="168"/>
      <c r="U96" s="241"/>
      <c r="V96" s="168"/>
      <c r="W96" s="241"/>
      <c r="X96" s="168">
        <f t="shared" si="23"/>
        <v>408</v>
      </c>
      <c r="Y96" s="169">
        <f t="shared" si="23"/>
        <v>0</v>
      </c>
      <c r="Z96" s="172">
        <f t="shared" si="24"/>
        <v>40.799999999999997</v>
      </c>
      <c r="AA96" s="173">
        <f t="shared" si="24"/>
        <v>0</v>
      </c>
      <c r="AB96" s="243">
        <f>I96+X96</f>
        <v>4046</v>
      </c>
      <c r="AC96" s="427">
        <f>Y96+J96</f>
        <v>1402794.8659999999</v>
      </c>
      <c r="AD96" s="244">
        <f>AB96/G96*100</f>
        <v>110.84931506849315</v>
      </c>
      <c r="AE96" s="244">
        <f>AC96/H96*100</f>
        <v>81.321441507246377</v>
      </c>
      <c r="AF96" s="134"/>
    </row>
    <row r="97" spans="1:33" ht="72" customHeight="1" x14ac:dyDescent="0.25">
      <c r="A97" s="98">
        <v>33</v>
      </c>
      <c r="B97" s="239" t="s">
        <v>338</v>
      </c>
      <c r="C97" s="428"/>
      <c r="D97" s="165" t="s">
        <v>339</v>
      </c>
      <c r="E97" s="133" t="s">
        <v>340</v>
      </c>
      <c r="F97" s="134" t="s">
        <v>33</v>
      </c>
      <c r="G97" s="236"/>
      <c r="H97" s="175"/>
      <c r="I97" s="236"/>
      <c r="J97" s="175"/>
      <c r="K97" s="168">
        <v>40</v>
      </c>
      <c r="L97" s="169">
        <v>79999.75</v>
      </c>
      <c r="M97" s="168">
        <v>40</v>
      </c>
      <c r="N97" s="169">
        <v>79999.75</v>
      </c>
      <c r="O97" s="169">
        <v>38978.35</v>
      </c>
      <c r="P97" s="168">
        <v>0</v>
      </c>
      <c r="Q97" s="169">
        <v>0</v>
      </c>
      <c r="R97" s="170">
        <v>0</v>
      </c>
      <c r="S97" s="171">
        <v>0</v>
      </c>
      <c r="T97" s="168"/>
      <c r="U97" s="241"/>
      <c r="V97" s="168"/>
      <c r="W97" s="241"/>
      <c r="X97" s="168">
        <f>P97+R97+T97+V97</f>
        <v>0</v>
      </c>
      <c r="Y97" s="169">
        <f>Q97+S97+U97+W97</f>
        <v>0</v>
      </c>
      <c r="Z97" s="172">
        <f t="shared" si="24"/>
        <v>0</v>
      </c>
      <c r="AA97" s="173">
        <f t="shared" si="24"/>
        <v>0</v>
      </c>
      <c r="AB97" s="243"/>
      <c r="AC97" s="427"/>
      <c r="AD97" s="244"/>
      <c r="AE97" s="244"/>
      <c r="AF97" s="134"/>
    </row>
    <row r="98" spans="1:33" ht="30" hidden="1" customHeight="1" x14ac:dyDescent="0.25">
      <c r="A98" s="429" t="s">
        <v>124</v>
      </c>
      <c r="B98" s="430"/>
      <c r="C98" s="293"/>
      <c r="D98" s="431"/>
      <c r="E98" s="432"/>
      <c r="F98" s="433"/>
      <c r="G98" s="434"/>
      <c r="H98" s="435">
        <f>H9+H14+H17+H22+H32+H41+H42+H43+H60+H61+H62+H79+H84+H94</f>
        <v>32512950</v>
      </c>
      <c r="I98" s="435"/>
      <c r="J98" s="435">
        <f t="shared" ref="J98:O98" si="27">J9+J14+J17+J22+J32+J41+J42+J43+J60+J61+J62+J79+J84+J94</f>
        <v>28308870.340000004</v>
      </c>
      <c r="K98" s="435"/>
      <c r="L98" s="435">
        <f t="shared" si="27"/>
        <v>8481871.3100000005</v>
      </c>
      <c r="M98" s="435"/>
      <c r="N98" s="435">
        <f t="shared" si="27"/>
        <v>7871278.2760000005</v>
      </c>
      <c r="O98" s="435">
        <f t="shared" si="27"/>
        <v>9051253.1500000004</v>
      </c>
      <c r="P98" s="435"/>
      <c r="Q98" s="435">
        <f>Q10+Q15+Q23+Q29+Q37+Q44+Q63+Q72+Q80+Q85+Q95</f>
        <v>939110.96600000001</v>
      </c>
      <c r="R98" s="435"/>
      <c r="S98" s="435">
        <f ca="1">S10+S15+S23+S29+S37+S44+S63+S72+S80+S85+S95</f>
        <v>848662.54800000007</v>
      </c>
      <c r="T98" s="435">
        <f t="shared" ref="T98:Y98" si="28">T10+T15+T23+T29+T37+T44+T63+T72+T80+T85+T95</f>
        <v>0</v>
      </c>
      <c r="U98" s="435">
        <f t="shared" si="28"/>
        <v>0</v>
      </c>
      <c r="V98" s="435">
        <f t="shared" si="28"/>
        <v>0</v>
      </c>
      <c r="W98" s="435">
        <f t="shared" si="28"/>
        <v>0</v>
      </c>
      <c r="X98" s="435"/>
      <c r="Y98" s="435">
        <f t="shared" si="28"/>
        <v>2903637.5520000001</v>
      </c>
      <c r="Z98" s="435"/>
      <c r="AA98" s="423">
        <f>Y98/N98*100</f>
        <v>36.889021708880058</v>
      </c>
      <c r="AB98" s="435"/>
      <c r="AC98" s="435">
        <f>Y98+J98</f>
        <v>31212507.892000005</v>
      </c>
      <c r="AD98" s="436"/>
      <c r="AE98" s="436"/>
      <c r="AF98" s="436"/>
      <c r="AG98" s="34">
        <f>Y98/N98</f>
        <v>0.3688902170888006</v>
      </c>
    </row>
    <row r="99" spans="1:33" ht="30" hidden="1" customHeight="1" x14ac:dyDescent="0.25">
      <c r="A99" s="437" t="s">
        <v>125</v>
      </c>
      <c r="B99" s="72"/>
      <c r="C99" s="371"/>
      <c r="D99" s="372"/>
      <c r="E99" s="438"/>
      <c r="G99" s="440"/>
      <c r="H99" s="441"/>
      <c r="I99" s="440"/>
      <c r="J99" s="442"/>
      <c r="L99" s="443"/>
      <c r="N99" s="443"/>
      <c r="O99" s="443"/>
      <c r="Q99" s="444"/>
      <c r="R99" s="440"/>
      <c r="S99" s="445"/>
      <c r="X99" s="446"/>
      <c r="Y99" s="447">
        <f>Y98/O98</f>
        <v>0.32079950741406454</v>
      </c>
      <c r="Z99" s="337"/>
      <c r="AA99" s="610"/>
      <c r="AB99" s="449"/>
      <c r="AC99" s="450"/>
      <c r="AD99" s="337"/>
      <c r="AE99" s="337"/>
      <c r="AF99" s="313"/>
    </row>
    <row r="100" spans="1:33" ht="38.25" hidden="1" customHeight="1" x14ac:dyDescent="0.25">
      <c r="A100" s="961" t="s">
        <v>341</v>
      </c>
      <c r="B100" s="962"/>
      <c r="C100" s="963"/>
      <c r="D100" s="451" t="s">
        <v>342</v>
      </c>
      <c r="E100" s="452"/>
      <c r="F100" s="453"/>
      <c r="G100" s="453"/>
      <c r="H100" s="453"/>
      <c r="I100" s="453"/>
      <c r="J100" s="453"/>
      <c r="K100" s="453"/>
      <c r="L100" s="453"/>
      <c r="M100" s="453"/>
      <c r="N100" s="453"/>
      <c r="O100" s="453"/>
      <c r="P100" s="453"/>
      <c r="Q100" s="453"/>
      <c r="R100" s="453"/>
      <c r="S100" s="453"/>
      <c r="T100" s="453"/>
      <c r="U100" s="453"/>
      <c r="V100" s="453"/>
      <c r="W100" s="453"/>
      <c r="X100" s="453"/>
      <c r="Y100" s="453"/>
      <c r="Z100" s="453"/>
      <c r="AA100" s="454"/>
      <c r="AB100" s="453"/>
      <c r="AC100" s="453"/>
      <c r="AD100" s="453"/>
      <c r="AE100" s="453"/>
      <c r="AF100" s="454"/>
    </row>
    <row r="101" spans="1:33" ht="42.75" hidden="1" customHeight="1" x14ac:dyDescent="0.25">
      <c r="A101" s="961" t="s">
        <v>343</v>
      </c>
      <c r="B101" s="962"/>
      <c r="C101" s="963"/>
      <c r="D101" s="455" t="s">
        <v>344</v>
      </c>
      <c r="E101" s="452"/>
      <c r="F101" s="453"/>
      <c r="G101" s="453"/>
      <c r="H101" s="453"/>
      <c r="I101" s="453"/>
      <c r="J101" s="453"/>
      <c r="K101" s="453"/>
      <c r="L101" s="453"/>
      <c r="M101" s="453"/>
      <c r="N101" s="453"/>
      <c r="O101" s="453"/>
      <c r="P101" s="453"/>
      <c r="Q101" s="453"/>
      <c r="R101" s="453"/>
      <c r="S101" s="453"/>
      <c r="T101" s="453"/>
      <c r="U101" s="453"/>
      <c r="V101" s="453"/>
      <c r="W101" s="453"/>
      <c r="X101" s="453"/>
      <c r="Y101" s="453"/>
      <c r="Z101" s="453"/>
      <c r="AA101" s="454"/>
      <c r="AB101" s="453"/>
      <c r="AC101" s="453"/>
      <c r="AD101" s="453"/>
      <c r="AE101" s="453"/>
      <c r="AF101" s="454"/>
    </row>
    <row r="102" spans="1:33" ht="50.25" hidden="1" customHeight="1" x14ac:dyDescent="0.25">
      <c r="A102" s="961" t="s">
        <v>345</v>
      </c>
      <c r="B102" s="962"/>
      <c r="C102" s="963"/>
      <c r="D102" s="456" t="s">
        <v>346</v>
      </c>
      <c r="E102" s="452"/>
      <c r="F102" s="453"/>
      <c r="G102" s="453"/>
      <c r="H102" s="453"/>
      <c r="I102" s="453"/>
      <c r="J102" s="453"/>
      <c r="K102" s="453"/>
      <c r="L102" s="453"/>
      <c r="M102" s="453"/>
      <c r="N102" s="453"/>
      <c r="O102" s="453"/>
      <c r="P102" s="453"/>
      <c r="Q102" s="453"/>
      <c r="R102" s="453"/>
      <c r="S102" s="453"/>
      <c r="T102" s="453"/>
      <c r="U102" s="453"/>
      <c r="V102" s="453"/>
      <c r="W102" s="453"/>
      <c r="X102" s="453"/>
      <c r="Y102" s="453"/>
      <c r="Z102" s="453"/>
      <c r="AA102" s="454"/>
      <c r="AB102" s="453"/>
      <c r="AC102" s="453"/>
      <c r="AD102" s="453"/>
      <c r="AE102" s="453"/>
      <c r="AF102" s="454"/>
    </row>
    <row r="103" spans="1:33" ht="56.25" hidden="1" customHeight="1" x14ac:dyDescent="0.25">
      <c r="A103" s="961" t="s">
        <v>347</v>
      </c>
      <c r="B103" s="962"/>
      <c r="C103" s="963"/>
      <c r="D103" s="456" t="s">
        <v>348</v>
      </c>
      <c r="E103" s="452"/>
      <c r="F103" s="453"/>
      <c r="G103" s="453"/>
      <c r="H103" s="453"/>
      <c r="I103" s="453"/>
      <c r="J103" s="453"/>
      <c r="K103" s="453"/>
      <c r="L103" s="453"/>
      <c r="M103" s="453"/>
      <c r="N103" s="453"/>
      <c r="O103" s="453"/>
      <c r="P103" s="453"/>
      <c r="Q103" s="453"/>
      <c r="R103" s="453"/>
      <c r="S103" s="453"/>
      <c r="T103" s="453"/>
      <c r="U103" s="453"/>
      <c r="V103" s="453"/>
      <c r="W103" s="453"/>
      <c r="X103" s="453"/>
      <c r="Y103" s="453"/>
      <c r="Z103" s="453"/>
      <c r="AA103" s="454"/>
      <c r="AB103" s="453"/>
      <c r="AC103" s="453"/>
      <c r="AD103" s="453"/>
      <c r="AE103" s="453"/>
      <c r="AF103" s="454"/>
    </row>
    <row r="104" spans="1:33" ht="18" customHeight="1" x14ac:dyDescent="0.25">
      <c r="A104" s="457"/>
      <c r="B104" s="72"/>
      <c r="C104" s="371"/>
      <c r="D104" s="458"/>
      <c r="E104" s="458"/>
      <c r="F104" s="458"/>
      <c r="G104" s="458"/>
      <c r="H104" s="458"/>
      <c r="I104" s="458"/>
      <c r="J104" s="458"/>
      <c r="K104" s="458"/>
      <c r="L104" s="458"/>
      <c r="M104" s="458"/>
      <c r="N104" s="458"/>
      <c r="O104" s="458"/>
      <c r="P104" s="458"/>
      <c r="Q104" s="458"/>
      <c r="R104" s="458"/>
      <c r="S104" s="458"/>
      <c r="T104" s="458"/>
      <c r="U104" s="458"/>
      <c r="V104" s="458"/>
      <c r="W104" s="458"/>
      <c r="X104" s="458"/>
      <c r="Y104" s="458"/>
      <c r="Z104" s="458"/>
      <c r="AA104" s="458"/>
      <c r="AB104" s="458"/>
      <c r="AC104" s="458"/>
      <c r="AD104" s="458"/>
      <c r="AE104" s="458"/>
      <c r="AF104" s="458"/>
    </row>
    <row r="105" spans="1:33" ht="20.100000000000001" customHeight="1" x14ac:dyDescent="0.25">
      <c r="A105" s="457"/>
      <c r="B105" s="72"/>
      <c r="C105" s="371"/>
      <c r="D105" s="458"/>
      <c r="E105" s="458"/>
      <c r="F105" s="458"/>
      <c r="G105" s="955" t="s">
        <v>349</v>
      </c>
      <c r="H105" s="955"/>
      <c r="I105" s="955"/>
      <c r="J105" s="955"/>
      <c r="K105" s="955"/>
      <c r="L105" s="955"/>
      <c r="M105" s="955"/>
      <c r="N105" s="955"/>
      <c r="O105" s="611"/>
      <c r="P105" s="611"/>
      <c r="Q105" s="611"/>
      <c r="R105" s="611"/>
      <c r="S105" s="611"/>
      <c r="T105" s="611"/>
      <c r="U105" s="611"/>
      <c r="V105" s="611"/>
      <c r="W105" s="611"/>
      <c r="X105" s="611"/>
      <c r="Y105" s="955" t="s">
        <v>350</v>
      </c>
      <c r="Z105" s="955"/>
      <c r="AA105" s="955"/>
      <c r="AB105" s="955"/>
      <c r="AC105" s="955"/>
      <c r="AD105" s="955"/>
      <c r="AE105" s="611"/>
      <c r="AF105" s="458"/>
    </row>
    <row r="106" spans="1:33" ht="20.100000000000001" customHeight="1" x14ac:dyDescent="0.25">
      <c r="A106" s="457"/>
      <c r="B106" s="72"/>
      <c r="C106" s="371"/>
      <c r="D106" s="458"/>
      <c r="E106" s="458"/>
      <c r="F106" s="458"/>
      <c r="G106" s="955" t="s">
        <v>351</v>
      </c>
      <c r="H106" s="955"/>
      <c r="I106" s="955"/>
      <c r="J106" s="955"/>
      <c r="K106" s="955"/>
      <c r="L106" s="955"/>
      <c r="M106" s="955"/>
      <c r="N106" s="955"/>
      <c r="O106" s="611"/>
      <c r="P106" s="611"/>
      <c r="Q106" s="611"/>
      <c r="R106" s="611"/>
      <c r="S106" s="611"/>
      <c r="T106" s="611"/>
      <c r="U106" s="611"/>
      <c r="V106" s="611"/>
      <c r="W106" s="611"/>
      <c r="X106" s="955" t="s">
        <v>351</v>
      </c>
      <c r="Y106" s="955"/>
      <c r="Z106" s="955"/>
      <c r="AA106" s="955"/>
      <c r="AB106" s="955"/>
      <c r="AC106" s="955"/>
      <c r="AD106" s="955"/>
      <c r="AE106" s="955"/>
      <c r="AF106" s="458"/>
    </row>
    <row r="107" spans="1:33" ht="20.100000000000001" customHeight="1" x14ac:dyDescent="0.25">
      <c r="A107" s="457"/>
      <c r="B107" s="72"/>
      <c r="C107" s="371"/>
      <c r="D107" s="458"/>
      <c r="E107" s="458"/>
      <c r="F107" s="458"/>
      <c r="G107" s="611"/>
      <c r="H107" s="611"/>
      <c r="I107" s="611"/>
      <c r="J107" s="611"/>
      <c r="K107" s="611"/>
      <c r="L107" s="612"/>
      <c r="M107" s="612"/>
      <c r="N107" s="612"/>
      <c r="O107" s="611"/>
      <c r="P107" s="611"/>
      <c r="Q107" s="611"/>
      <c r="R107" s="611"/>
      <c r="S107" s="611"/>
      <c r="T107" s="611"/>
      <c r="U107" s="611"/>
      <c r="V107" s="611"/>
      <c r="W107" s="611"/>
      <c r="X107" s="611"/>
      <c r="Y107" s="611"/>
      <c r="Z107" s="611"/>
      <c r="AA107" s="611"/>
      <c r="AB107" s="611"/>
      <c r="AC107" s="612"/>
      <c r="AD107" s="612"/>
      <c r="AE107" s="612"/>
      <c r="AF107" s="458"/>
    </row>
    <row r="108" spans="1:33" ht="20.100000000000001" customHeight="1" x14ac:dyDescent="0.25">
      <c r="A108" s="457"/>
      <c r="B108" s="72"/>
      <c r="C108" s="371"/>
      <c r="D108" s="458"/>
      <c r="E108" s="458"/>
      <c r="F108" s="458"/>
      <c r="G108" s="955" t="s">
        <v>352</v>
      </c>
      <c r="H108" s="955"/>
      <c r="I108" s="955"/>
      <c r="J108" s="955"/>
      <c r="K108" s="955"/>
      <c r="L108" s="955"/>
      <c r="M108" s="955"/>
      <c r="N108" s="955"/>
      <c r="O108" s="611"/>
      <c r="P108" s="611"/>
      <c r="Q108" s="611"/>
      <c r="R108" s="611"/>
      <c r="S108" s="611"/>
      <c r="T108" s="611"/>
      <c r="U108" s="611"/>
      <c r="V108" s="611"/>
      <c r="W108" s="611"/>
      <c r="X108" s="955" t="s">
        <v>353</v>
      </c>
      <c r="Y108" s="955"/>
      <c r="Z108" s="955"/>
      <c r="AA108" s="955"/>
      <c r="AB108" s="955"/>
      <c r="AC108" s="955"/>
      <c r="AD108" s="955"/>
      <c r="AE108" s="955"/>
      <c r="AF108" s="458"/>
    </row>
    <row r="109" spans="1:33" ht="20.100000000000001" customHeight="1" x14ac:dyDescent="0.25">
      <c r="A109" s="457"/>
      <c r="B109" s="72"/>
      <c r="C109" s="371"/>
      <c r="D109" s="458"/>
      <c r="E109" s="458"/>
      <c r="F109" s="458"/>
      <c r="G109" s="955" t="s">
        <v>354</v>
      </c>
      <c r="H109" s="955"/>
      <c r="I109" s="955"/>
      <c r="J109" s="955"/>
      <c r="K109" s="955"/>
      <c r="L109" s="955"/>
      <c r="M109" s="955"/>
      <c r="N109" s="955"/>
      <c r="O109" s="611"/>
      <c r="P109" s="611"/>
      <c r="Q109" s="611"/>
      <c r="R109" s="611"/>
      <c r="S109" s="611"/>
      <c r="T109" s="611"/>
      <c r="U109" s="611"/>
      <c r="V109" s="611"/>
      <c r="W109" s="611"/>
      <c r="X109" s="955" t="s">
        <v>354</v>
      </c>
      <c r="Y109" s="955"/>
      <c r="Z109" s="955"/>
      <c r="AA109" s="955"/>
      <c r="AB109" s="955"/>
      <c r="AC109" s="955"/>
      <c r="AD109" s="955"/>
      <c r="AE109" s="955"/>
      <c r="AF109" s="458"/>
    </row>
    <row r="110" spans="1:33" ht="20.100000000000001" customHeight="1" x14ac:dyDescent="0.25">
      <c r="A110" s="457"/>
      <c r="B110" s="72"/>
      <c r="C110" s="371"/>
      <c r="D110" s="458"/>
      <c r="E110" s="458"/>
      <c r="F110" s="458"/>
      <c r="G110" s="611"/>
      <c r="H110" s="611"/>
      <c r="I110" s="611"/>
      <c r="J110" s="611"/>
      <c r="K110" s="611"/>
      <c r="L110" s="612"/>
      <c r="M110" s="612"/>
      <c r="N110" s="612"/>
      <c r="O110" s="611"/>
      <c r="P110" s="611"/>
      <c r="Q110" s="611"/>
      <c r="R110" s="611"/>
      <c r="S110" s="611"/>
      <c r="T110" s="611"/>
      <c r="U110" s="611"/>
      <c r="V110" s="611"/>
      <c r="W110" s="611"/>
      <c r="X110" s="611"/>
      <c r="Y110" s="611"/>
      <c r="Z110" s="611"/>
      <c r="AA110" s="611"/>
      <c r="AB110" s="611"/>
      <c r="AC110" s="612"/>
      <c r="AD110" s="612"/>
      <c r="AE110" s="612"/>
      <c r="AF110" s="458"/>
    </row>
    <row r="111" spans="1:33" ht="20.100000000000001" customHeight="1" x14ac:dyDescent="0.25">
      <c r="A111" s="457"/>
      <c r="B111" s="72"/>
      <c r="C111" s="371"/>
      <c r="D111" s="458"/>
      <c r="E111" s="458"/>
      <c r="F111" s="458"/>
      <c r="G111" s="611"/>
      <c r="H111" s="611"/>
      <c r="I111" s="611"/>
      <c r="J111" s="611"/>
      <c r="K111" s="611"/>
      <c r="L111" s="612"/>
      <c r="M111" s="612"/>
      <c r="N111" s="612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611"/>
      <c r="AC111" s="612"/>
      <c r="AD111" s="612"/>
      <c r="AE111" s="612"/>
      <c r="AF111" s="458"/>
    </row>
    <row r="112" spans="1:33" ht="20.100000000000001" customHeight="1" x14ac:dyDescent="0.25">
      <c r="A112" s="457"/>
      <c r="B112" s="72"/>
      <c r="C112" s="371"/>
      <c r="D112" s="458"/>
      <c r="E112" s="458"/>
      <c r="F112" s="458"/>
      <c r="G112" s="611"/>
      <c r="H112" s="611"/>
      <c r="I112" s="611"/>
      <c r="J112" s="611"/>
      <c r="K112" s="611"/>
      <c r="L112" s="611"/>
      <c r="M112" s="611"/>
      <c r="N112" s="611"/>
      <c r="O112" s="611"/>
      <c r="P112" s="611"/>
      <c r="Q112" s="611"/>
      <c r="R112" s="611"/>
      <c r="S112" s="611"/>
      <c r="T112" s="611"/>
      <c r="U112" s="611"/>
      <c r="V112" s="611"/>
      <c r="W112" s="611"/>
      <c r="X112" s="611"/>
      <c r="Y112" s="611"/>
      <c r="Z112" s="611"/>
      <c r="AA112" s="611"/>
      <c r="AB112" s="611"/>
      <c r="AC112" s="611"/>
      <c r="AD112" s="611"/>
      <c r="AE112" s="611"/>
      <c r="AF112" s="458"/>
    </row>
    <row r="113" spans="1:32" ht="20.100000000000001" customHeight="1" x14ac:dyDescent="0.25">
      <c r="A113" s="457"/>
      <c r="B113" s="72"/>
      <c r="C113" s="371"/>
      <c r="D113" s="458"/>
      <c r="E113" s="458"/>
      <c r="F113" s="458"/>
      <c r="G113" s="964" t="s">
        <v>355</v>
      </c>
      <c r="H113" s="964"/>
      <c r="I113" s="964"/>
      <c r="J113" s="964"/>
      <c r="K113" s="964"/>
      <c r="L113" s="964"/>
      <c r="M113" s="964"/>
      <c r="N113" s="964"/>
      <c r="O113" s="611"/>
      <c r="P113" s="611"/>
      <c r="Q113" s="611"/>
      <c r="R113" s="611"/>
      <c r="S113" s="611"/>
      <c r="T113" s="611"/>
      <c r="U113" s="611"/>
      <c r="V113" s="611"/>
      <c r="W113" s="611"/>
      <c r="X113" s="964" t="s">
        <v>356</v>
      </c>
      <c r="Y113" s="964"/>
      <c r="Z113" s="964"/>
      <c r="AA113" s="964"/>
      <c r="AB113" s="964"/>
      <c r="AC113" s="964"/>
      <c r="AD113" s="964"/>
      <c r="AE113" s="964"/>
      <c r="AF113" s="459"/>
    </row>
    <row r="114" spans="1:32" ht="20.100000000000001" customHeight="1" x14ac:dyDescent="0.25">
      <c r="A114" s="457"/>
      <c r="B114" s="72"/>
      <c r="C114" s="371"/>
      <c r="D114" s="458"/>
      <c r="E114" s="458"/>
      <c r="F114" s="458"/>
      <c r="G114" s="955" t="s">
        <v>357</v>
      </c>
      <c r="H114" s="955"/>
      <c r="I114" s="955"/>
      <c r="J114" s="955"/>
      <c r="K114" s="955"/>
      <c r="L114" s="955"/>
      <c r="M114" s="955"/>
      <c r="N114" s="955"/>
      <c r="O114" s="611"/>
      <c r="P114" s="611"/>
      <c r="Q114" s="611"/>
      <c r="R114" s="611"/>
      <c r="S114" s="611"/>
      <c r="T114" s="611"/>
      <c r="U114" s="611"/>
      <c r="V114" s="611"/>
      <c r="W114" s="611"/>
      <c r="X114" s="955" t="s">
        <v>358</v>
      </c>
      <c r="Y114" s="955"/>
      <c r="Z114" s="955"/>
      <c r="AA114" s="955"/>
      <c r="AB114" s="955"/>
      <c r="AC114" s="955"/>
      <c r="AD114" s="955"/>
      <c r="AE114" s="955"/>
      <c r="AF114" s="458"/>
    </row>
    <row r="115" spans="1:32" ht="20.100000000000001" customHeight="1" x14ac:dyDescent="0.25">
      <c r="A115" s="457"/>
      <c r="B115" s="72"/>
      <c r="C115" s="371"/>
      <c r="D115" s="458"/>
      <c r="E115" s="458"/>
      <c r="F115" s="458"/>
      <c r="G115" s="955" t="s">
        <v>359</v>
      </c>
      <c r="H115" s="955"/>
      <c r="I115" s="955"/>
      <c r="J115" s="955"/>
      <c r="K115" s="955"/>
      <c r="L115" s="955"/>
      <c r="M115" s="955"/>
      <c r="N115" s="955"/>
      <c r="O115" s="611"/>
      <c r="P115" s="611"/>
      <c r="Q115" s="611"/>
      <c r="R115" s="611"/>
      <c r="S115" s="611"/>
      <c r="T115" s="611"/>
      <c r="U115" s="611"/>
      <c r="V115" s="611"/>
      <c r="W115" s="611"/>
      <c r="X115" s="955" t="s">
        <v>360</v>
      </c>
      <c r="Y115" s="955"/>
      <c r="Z115" s="955"/>
      <c r="AA115" s="955"/>
      <c r="AB115" s="955"/>
      <c r="AC115" s="955"/>
      <c r="AD115" s="955"/>
      <c r="AE115" s="955"/>
      <c r="AF115" s="458"/>
    </row>
    <row r="116" spans="1:32" ht="30" customHeight="1" x14ac:dyDescent="0.25">
      <c r="A116" s="457"/>
      <c r="B116" s="72"/>
      <c r="C116" s="371"/>
      <c r="D116" s="458"/>
      <c r="E116" s="458"/>
      <c r="F116" s="458"/>
      <c r="G116" s="613"/>
      <c r="H116" s="613"/>
      <c r="I116" s="613"/>
      <c r="J116" s="613"/>
      <c r="K116" s="613"/>
      <c r="L116" s="613"/>
      <c r="M116" s="613"/>
      <c r="N116" s="613"/>
      <c r="O116" s="613"/>
      <c r="P116" s="613"/>
      <c r="Q116" s="613"/>
      <c r="R116" s="613"/>
      <c r="S116" s="613"/>
      <c r="T116" s="613"/>
      <c r="U116" s="613"/>
      <c r="V116" s="613"/>
      <c r="W116" s="613"/>
      <c r="X116" s="613"/>
      <c r="Y116" s="613"/>
      <c r="Z116" s="613"/>
      <c r="AA116" s="613"/>
      <c r="AB116" s="613"/>
      <c r="AC116" s="613"/>
      <c r="AD116" s="613"/>
      <c r="AE116" s="613"/>
      <c r="AF116" s="458"/>
    </row>
    <row r="117" spans="1:32" ht="30" customHeight="1" x14ac:dyDescent="0.25">
      <c r="A117" s="457"/>
      <c r="B117" s="72"/>
      <c r="C117" s="371"/>
      <c r="D117" s="458"/>
      <c r="E117" s="458"/>
      <c r="F117" s="458"/>
      <c r="G117" s="613"/>
      <c r="H117" s="613"/>
      <c r="I117" s="613"/>
      <c r="J117" s="613"/>
      <c r="K117" s="613"/>
      <c r="L117" s="613"/>
      <c r="M117" s="613"/>
      <c r="N117" s="613"/>
      <c r="O117" s="613"/>
      <c r="P117" s="613"/>
      <c r="Q117" s="613"/>
      <c r="R117" s="613"/>
      <c r="S117" s="613"/>
      <c r="T117" s="613"/>
      <c r="U117" s="613"/>
      <c r="V117" s="613"/>
      <c r="W117" s="613"/>
      <c r="X117" s="613"/>
      <c r="Y117" s="613"/>
      <c r="Z117" s="613"/>
      <c r="AA117" s="613"/>
      <c r="AB117" s="613"/>
      <c r="AC117" s="613"/>
      <c r="AD117" s="613"/>
      <c r="AE117" s="613"/>
      <c r="AF117" s="458"/>
    </row>
    <row r="118" spans="1:32" ht="30" customHeight="1" x14ac:dyDescent="0.25">
      <c r="A118" s="457"/>
      <c r="B118" s="72"/>
      <c r="C118" s="371"/>
      <c r="D118" s="458"/>
      <c r="E118" s="458"/>
      <c r="F118" s="458"/>
      <c r="G118" s="458"/>
      <c r="H118" s="458"/>
      <c r="I118" s="458"/>
      <c r="J118" s="458"/>
      <c r="K118" s="458"/>
      <c r="L118" s="458"/>
      <c r="M118" s="458"/>
      <c r="N118" s="458"/>
      <c r="O118" s="458"/>
      <c r="P118" s="458"/>
      <c r="Q118" s="458"/>
      <c r="R118" s="458"/>
      <c r="S118" s="458"/>
      <c r="T118" s="458"/>
      <c r="U118" s="458"/>
      <c r="V118" s="458"/>
      <c r="W118" s="458"/>
      <c r="X118" s="458"/>
      <c r="Y118" s="458"/>
      <c r="Z118" s="458"/>
      <c r="AA118" s="458"/>
      <c r="AB118" s="458"/>
      <c r="AC118" s="458"/>
      <c r="AD118" s="458"/>
      <c r="AE118" s="458"/>
      <c r="AF118" s="458"/>
    </row>
    <row r="119" spans="1:32" x14ac:dyDescent="0.25">
      <c r="C119" s="460"/>
      <c r="D119" s="458"/>
      <c r="E119" s="438"/>
    </row>
    <row r="120" spans="1:32" x14ac:dyDescent="0.25">
      <c r="C120" s="360"/>
      <c r="D120" s="34"/>
      <c r="L120" s="461"/>
      <c r="N120" s="450"/>
      <c r="O120" s="450"/>
      <c r="Q120" s="450"/>
      <c r="S120" s="461"/>
      <c r="W120" s="450"/>
      <c r="Y120" s="450"/>
    </row>
    <row r="121" spans="1:32" x14ac:dyDescent="0.25">
      <c r="C121" s="462"/>
      <c r="D121" s="34"/>
      <c r="L121" s="450"/>
      <c r="N121" s="463"/>
      <c r="O121" s="464"/>
    </row>
    <row r="122" spans="1:32" x14ac:dyDescent="0.25">
      <c r="D122" s="34"/>
    </row>
    <row r="123" spans="1:32" x14ac:dyDescent="0.25">
      <c r="D123" s="34"/>
      <c r="L123" s="465"/>
    </row>
    <row r="124" spans="1:32" x14ac:dyDescent="0.25">
      <c r="D124" s="34"/>
    </row>
    <row r="125" spans="1:32" x14ac:dyDescent="0.25">
      <c r="D125" s="34"/>
      <c r="L125" s="466"/>
    </row>
    <row r="126" spans="1:32" x14ac:dyDescent="0.25">
      <c r="D126" s="34"/>
    </row>
    <row r="127" spans="1:32" x14ac:dyDescent="0.25">
      <c r="D127" s="34"/>
    </row>
    <row r="128" spans="1:32" x14ac:dyDescent="0.25">
      <c r="D128" s="34"/>
    </row>
    <row r="129" spans="1:32" x14ac:dyDescent="0.25">
      <c r="D129" s="34"/>
    </row>
    <row r="130" spans="1:32" x14ac:dyDescent="0.25">
      <c r="D130" s="34"/>
    </row>
    <row r="131" spans="1:32" x14ac:dyDescent="0.25">
      <c r="D131" s="34"/>
    </row>
    <row r="132" spans="1:32" x14ac:dyDescent="0.25">
      <c r="D132" s="34"/>
    </row>
    <row r="133" spans="1:32" x14ac:dyDescent="0.25">
      <c r="D133" s="34"/>
    </row>
    <row r="134" spans="1:32" s="334" customFormat="1" x14ac:dyDescent="0.25">
      <c r="A134" s="439"/>
      <c r="B134" s="34"/>
      <c r="C134" s="438"/>
      <c r="D134" s="34"/>
      <c r="E134" s="34"/>
      <c r="F134" s="439"/>
      <c r="H134" s="443"/>
      <c r="J134" s="443"/>
      <c r="L134" s="448"/>
      <c r="N134" s="448"/>
      <c r="O134" s="448"/>
      <c r="Q134" s="443"/>
      <c r="S134" s="443"/>
      <c r="U134" s="443"/>
      <c r="W134" s="443"/>
      <c r="Y134" s="443"/>
      <c r="AA134" s="443"/>
      <c r="AC134" s="443"/>
      <c r="AE134" s="443"/>
      <c r="AF134" s="439"/>
    </row>
    <row r="135" spans="1:32" s="334" customFormat="1" x14ac:dyDescent="0.25">
      <c r="A135" s="439"/>
      <c r="B135" s="34"/>
      <c r="C135" s="438"/>
      <c r="D135" s="34"/>
      <c r="E135" s="34"/>
      <c r="F135" s="439"/>
      <c r="H135" s="443"/>
      <c r="J135" s="443"/>
      <c r="L135" s="448"/>
      <c r="N135" s="448"/>
      <c r="O135" s="448"/>
      <c r="Q135" s="443"/>
      <c r="S135" s="443"/>
      <c r="U135" s="443"/>
      <c r="W135" s="443"/>
      <c r="Y135" s="443"/>
      <c r="AA135" s="443"/>
      <c r="AC135" s="443"/>
      <c r="AE135" s="443"/>
      <c r="AF135" s="439"/>
    </row>
    <row r="136" spans="1:32" s="334" customFormat="1" x14ac:dyDescent="0.25">
      <c r="A136" s="439"/>
      <c r="B136" s="34"/>
      <c r="C136" s="438"/>
      <c r="D136" s="34"/>
      <c r="E136" s="34"/>
      <c r="F136" s="439"/>
      <c r="H136" s="443"/>
      <c r="J136" s="443"/>
      <c r="L136" s="448"/>
      <c r="N136" s="448"/>
      <c r="O136" s="448"/>
      <c r="Q136" s="443"/>
      <c r="S136" s="443"/>
      <c r="U136" s="443"/>
      <c r="W136" s="443"/>
      <c r="Y136" s="443"/>
      <c r="AA136" s="443"/>
      <c r="AC136" s="443"/>
      <c r="AE136" s="443"/>
      <c r="AF136" s="439"/>
    </row>
    <row r="137" spans="1:32" s="334" customFormat="1" x14ac:dyDescent="0.25">
      <c r="A137" s="439"/>
      <c r="B137" s="34"/>
      <c r="C137" s="438"/>
      <c r="D137" s="34"/>
      <c r="E137" s="34"/>
      <c r="F137" s="439"/>
      <c r="H137" s="443"/>
      <c r="J137" s="443"/>
      <c r="L137" s="448"/>
      <c r="N137" s="448"/>
      <c r="O137" s="448"/>
      <c r="Q137" s="443"/>
      <c r="S137" s="443"/>
      <c r="U137" s="443"/>
      <c r="W137" s="443"/>
      <c r="Y137" s="443"/>
      <c r="AA137" s="443"/>
      <c r="AC137" s="443"/>
      <c r="AE137" s="443"/>
      <c r="AF137" s="439"/>
    </row>
    <row r="138" spans="1:32" s="334" customFormat="1" x14ac:dyDescent="0.25">
      <c r="A138" s="439"/>
      <c r="B138" s="34"/>
      <c r="C138" s="438"/>
      <c r="D138" s="34"/>
      <c r="E138" s="34"/>
      <c r="F138" s="439"/>
      <c r="H138" s="443"/>
      <c r="J138" s="443"/>
      <c r="L138" s="448"/>
      <c r="N138" s="448"/>
      <c r="O138" s="448"/>
      <c r="Q138" s="443"/>
      <c r="S138" s="443"/>
      <c r="U138" s="443"/>
      <c r="W138" s="443"/>
      <c r="Y138" s="443"/>
      <c r="AA138" s="443"/>
      <c r="AC138" s="443"/>
      <c r="AE138" s="443"/>
      <c r="AF138" s="439"/>
    </row>
    <row r="139" spans="1:32" s="334" customFormat="1" x14ac:dyDescent="0.25">
      <c r="A139" s="439"/>
      <c r="B139" s="34"/>
      <c r="C139" s="438"/>
      <c r="D139" s="34"/>
      <c r="E139" s="34"/>
      <c r="F139" s="439"/>
      <c r="H139" s="443"/>
      <c r="J139" s="443"/>
      <c r="L139" s="448"/>
      <c r="N139" s="448"/>
      <c r="O139" s="448"/>
      <c r="Q139" s="443"/>
      <c r="S139" s="443"/>
      <c r="U139" s="443"/>
      <c r="W139" s="443"/>
      <c r="Y139" s="443"/>
      <c r="AA139" s="443"/>
      <c r="AC139" s="443"/>
      <c r="AE139" s="443"/>
      <c r="AF139" s="439"/>
    </row>
    <row r="140" spans="1:32" s="334" customFormat="1" x14ac:dyDescent="0.25">
      <c r="A140" s="439"/>
      <c r="B140" s="34"/>
      <c r="C140" s="438"/>
      <c r="D140" s="34"/>
      <c r="E140" s="34"/>
      <c r="F140" s="439"/>
      <c r="H140" s="443"/>
      <c r="J140" s="443"/>
      <c r="L140" s="448"/>
      <c r="N140" s="448"/>
      <c r="O140" s="448"/>
      <c r="Q140" s="443"/>
      <c r="S140" s="443"/>
      <c r="U140" s="443"/>
      <c r="W140" s="443"/>
      <c r="Y140" s="443"/>
      <c r="AA140" s="443"/>
      <c r="AC140" s="443"/>
      <c r="AE140" s="443"/>
      <c r="AF140" s="439"/>
    </row>
    <row r="141" spans="1:32" s="334" customFormat="1" x14ac:dyDescent="0.25">
      <c r="A141" s="439"/>
      <c r="B141" s="34"/>
      <c r="C141" s="438"/>
      <c r="D141" s="34"/>
      <c r="E141" s="34"/>
      <c r="F141" s="439"/>
      <c r="H141" s="443"/>
      <c r="J141" s="443"/>
      <c r="L141" s="448"/>
      <c r="N141" s="448"/>
      <c r="O141" s="448"/>
      <c r="Q141" s="443"/>
      <c r="S141" s="443"/>
      <c r="U141" s="443"/>
      <c r="W141" s="443"/>
      <c r="Y141" s="443"/>
      <c r="AA141" s="443"/>
      <c r="AC141" s="443"/>
      <c r="AE141" s="443"/>
      <c r="AF141" s="439"/>
    </row>
    <row r="142" spans="1:32" s="334" customFormat="1" x14ac:dyDescent="0.25">
      <c r="A142" s="439"/>
      <c r="B142" s="34"/>
      <c r="C142" s="438"/>
      <c r="D142" s="34"/>
      <c r="E142" s="34"/>
      <c r="F142" s="439"/>
      <c r="H142" s="443"/>
      <c r="J142" s="443"/>
      <c r="L142" s="448"/>
      <c r="N142" s="448"/>
      <c r="O142" s="448"/>
      <c r="Q142" s="443"/>
      <c r="S142" s="443"/>
      <c r="U142" s="443"/>
      <c r="W142" s="443"/>
      <c r="Y142" s="443"/>
      <c r="AA142" s="443"/>
      <c r="AC142" s="443"/>
      <c r="AE142" s="443"/>
      <c r="AF142" s="439"/>
    </row>
    <row r="143" spans="1:32" s="334" customFormat="1" x14ac:dyDescent="0.25">
      <c r="A143" s="439"/>
      <c r="B143" s="34"/>
      <c r="C143" s="438"/>
      <c r="D143" s="34"/>
      <c r="E143" s="34"/>
      <c r="F143" s="439"/>
      <c r="H143" s="443"/>
      <c r="J143" s="443"/>
      <c r="L143" s="448"/>
      <c r="N143" s="448"/>
      <c r="O143" s="448"/>
      <c r="Q143" s="443"/>
      <c r="S143" s="443"/>
      <c r="U143" s="443"/>
      <c r="W143" s="443"/>
      <c r="Y143" s="443"/>
      <c r="AA143" s="443"/>
      <c r="AC143" s="443"/>
      <c r="AE143" s="443"/>
      <c r="AF143" s="439"/>
    </row>
    <row r="144" spans="1:32" s="334" customFormat="1" x14ac:dyDescent="0.25">
      <c r="A144" s="439"/>
      <c r="B144" s="34"/>
      <c r="C144" s="438"/>
      <c r="D144" s="34"/>
      <c r="E144" s="34"/>
      <c r="F144" s="439"/>
      <c r="H144" s="443"/>
      <c r="J144" s="443"/>
      <c r="L144" s="448"/>
      <c r="N144" s="448"/>
      <c r="O144" s="448"/>
      <c r="Q144" s="443"/>
      <c r="S144" s="443"/>
      <c r="U144" s="443"/>
      <c r="W144" s="443"/>
      <c r="Y144" s="443"/>
      <c r="AA144" s="443"/>
      <c r="AC144" s="443"/>
      <c r="AE144" s="443"/>
      <c r="AF144" s="439"/>
    </row>
    <row r="145" spans="1:32" s="334" customFormat="1" x14ac:dyDescent="0.25">
      <c r="A145" s="439"/>
      <c r="B145" s="34"/>
      <c r="C145" s="438"/>
      <c r="D145" s="34"/>
      <c r="E145" s="34"/>
      <c r="F145" s="439"/>
      <c r="H145" s="443"/>
      <c r="J145" s="443"/>
      <c r="L145" s="448"/>
      <c r="N145" s="448"/>
      <c r="O145" s="448"/>
      <c r="Q145" s="443"/>
      <c r="S145" s="443"/>
      <c r="U145" s="443"/>
      <c r="W145" s="443"/>
      <c r="Y145" s="443"/>
      <c r="AA145" s="443"/>
      <c r="AC145" s="443"/>
      <c r="AE145" s="443"/>
      <c r="AF145" s="439"/>
    </row>
    <row r="146" spans="1:32" s="334" customFormat="1" x14ac:dyDescent="0.25">
      <c r="A146" s="439"/>
      <c r="B146" s="34"/>
      <c r="C146" s="438"/>
      <c r="D146" s="34"/>
      <c r="E146" s="34"/>
      <c r="F146" s="439"/>
      <c r="H146" s="443"/>
      <c r="J146" s="443"/>
      <c r="L146" s="448"/>
      <c r="N146" s="448"/>
      <c r="O146" s="448"/>
      <c r="Q146" s="443"/>
      <c r="S146" s="443"/>
      <c r="U146" s="443"/>
      <c r="W146" s="443"/>
      <c r="Y146" s="443"/>
      <c r="AA146" s="443"/>
      <c r="AC146" s="443"/>
      <c r="AE146" s="443"/>
      <c r="AF146" s="439"/>
    </row>
    <row r="147" spans="1:32" s="334" customFormat="1" x14ac:dyDescent="0.25">
      <c r="A147" s="439"/>
      <c r="B147" s="34"/>
      <c r="C147" s="438"/>
      <c r="D147" s="34"/>
      <c r="E147" s="34"/>
      <c r="F147" s="439"/>
      <c r="H147" s="443"/>
      <c r="J147" s="443"/>
      <c r="L147" s="448"/>
      <c r="N147" s="448"/>
      <c r="O147" s="448"/>
      <c r="Q147" s="443"/>
      <c r="S147" s="443"/>
      <c r="U147" s="443"/>
      <c r="W147" s="443"/>
      <c r="Y147" s="443"/>
      <c r="AA147" s="443"/>
      <c r="AC147" s="443"/>
      <c r="AE147" s="443"/>
      <c r="AF147" s="439"/>
    </row>
    <row r="148" spans="1:32" s="334" customFormat="1" x14ac:dyDescent="0.25">
      <c r="A148" s="439"/>
      <c r="B148" s="34"/>
      <c r="C148" s="438"/>
      <c r="D148" s="34"/>
      <c r="E148" s="34"/>
      <c r="F148" s="439"/>
      <c r="H148" s="443"/>
      <c r="J148" s="443"/>
      <c r="L148" s="448"/>
      <c r="N148" s="448"/>
      <c r="O148" s="448"/>
      <c r="Q148" s="443"/>
      <c r="S148" s="443"/>
      <c r="U148" s="443"/>
      <c r="W148" s="443"/>
      <c r="Y148" s="443"/>
      <c r="AA148" s="443"/>
      <c r="AC148" s="443"/>
      <c r="AE148" s="443"/>
      <c r="AF148" s="439"/>
    </row>
    <row r="149" spans="1:32" s="334" customFormat="1" x14ac:dyDescent="0.25">
      <c r="A149" s="439"/>
      <c r="B149" s="34"/>
      <c r="C149" s="438"/>
      <c r="D149" s="34"/>
      <c r="E149" s="34"/>
      <c r="F149" s="439"/>
      <c r="H149" s="443"/>
      <c r="J149" s="443"/>
      <c r="L149" s="448"/>
      <c r="N149" s="448"/>
      <c r="O149" s="448"/>
      <c r="Q149" s="443"/>
      <c r="S149" s="443"/>
      <c r="U149" s="443"/>
      <c r="W149" s="443"/>
      <c r="Y149" s="443"/>
      <c r="AA149" s="443"/>
      <c r="AC149" s="443"/>
      <c r="AE149" s="443"/>
      <c r="AF149" s="439"/>
    </row>
    <row r="150" spans="1:32" s="334" customFormat="1" x14ac:dyDescent="0.25">
      <c r="A150" s="439"/>
      <c r="B150" s="34"/>
      <c r="C150" s="438"/>
      <c r="D150" s="34"/>
      <c r="E150" s="34"/>
      <c r="F150" s="439"/>
      <c r="H150" s="443"/>
      <c r="J150" s="443"/>
      <c r="L150" s="448"/>
      <c r="N150" s="448"/>
      <c r="O150" s="448"/>
      <c r="Q150" s="443"/>
      <c r="S150" s="443"/>
      <c r="U150" s="443"/>
      <c r="W150" s="443"/>
      <c r="Y150" s="443"/>
      <c r="AA150" s="443"/>
      <c r="AC150" s="443"/>
      <c r="AE150" s="443"/>
      <c r="AF150" s="439"/>
    </row>
    <row r="151" spans="1:32" s="334" customFormat="1" x14ac:dyDescent="0.25">
      <c r="A151" s="439"/>
      <c r="B151" s="34"/>
      <c r="C151" s="438"/>
      <c r="D151" s="34"/>
      <c r="E151" s="34"/>
      <c r="F151" s="439"/>
      <c r="H151" s="443"/>
      <c r="J151" s="443"/>
      <c r="L151" s="448"/>
      <c r="N151" s="448"/>
      <c r="O151" s="448"/>
      <c r="Q151" s="443"/>
      <c r="S151" s="443"/>
      <c r="U151" s="443"/>
      <c r="W151" s="443"/>
      <c r="Y151" s="443"/>
      <c r="AA151" s="443"/>
      <c r="AC151" s="443"/>
      <c r="AE151" s="443"/>
      <c r="AF151" s="439"/>
    </row>
    <row r="152" spans="1:32" s="334" customFormat="1" x14ac:dyDescent="0.25">
      <c r="A152" s="439"/>
      <c r="B152" s="34"/>
      <c r="C152" s="438"/>
      <c r="D152" s="34"/>
      <c r="E152" s="34"/>
      <c r="F152" s="439"/>
      <c r="H152" s="443"/>
      <c r="J152" s="443"/>
      <c r="L152" s="448"/>
      <c r="N152" s="448"/>
      <c r="O152" s="448"/>
      <c r="Q152" s="443"/>
      <c r="S152" s="443"/>
      <c r="U152" s="443"/>
      <c r="W152" s="443"/>
      <c r="Y152" s="443"/>
      <c r="AA152" s="443"/>
      <c r="AC152" s="443"/>
      <c r="AE152" s="443"/>
      <c r="AF152" s="439"/>
    </row>
    <row r="153" spans="1:32" s="334" customFormat="1" x14ac:dyDescent="0.25">
      <c r="A153" s="439"/>
      <c r="B153" s="34"/>
      <c r="C153" s="438"/>
      <c r="D153" s="34"/>
      <c r="E153" s="34"/>
      <c r="F153" s="439"/>
      <c r="H153" s="443"/>
      <c r="J153" s="443"/>
      <c r="L153" s="448"/>
      <c r="N153" s="448"/>
      <c r="O153" s="448"/>
      <c r="Q153" s="443"/>
      <c r="S153" s="443"/>
      <c r="U153" s="443"/>
      <c r="W153" s="443"/>
      <c r="Y153" s="443"/>
      <c r="AA153" s="443"/>
      <c r="AC153" s="443"/>
      <c r="AE153" s="443"/>
      <c r="AF153" s="439"/>
    </row>
    <row r="154" spans="1:32" s="334" customFormat="1" x14ac:dyDescent="0.25">
      <c r="A154" s="439"/>
      <c r="B154" s="34"/>
      <c r="C154" s="438"/>
      <c r="D154" s="34"/>
      <c r="E154" s="34"/>
      <c r="F154" s="439"/>
      <c r="H154" s="443"/>
      <c r="J154" s="443"/>
      <c r="L154" s="448"/>
      <c r="N154" s="448"/>
      <c r="O154" s="448"/>
      <c r="Q154" s="443"/>
      <c r="S154" s="443"/>
      <c r="U154" s="443"/>
      <c r="W154" s="443"/>
      <c r="Y154" s="443"/>
      <c r="AA154" s="443"/>
      <c r="AC154" s="443"/>
      <c r="AE154" s="443"/>
      <c r="AF154" s="439"/>
    </row>
    <row r="155" spans="1:32" s="334" customFormat="1" x14ac:dyDescent="0.25">
      <c r="A155" s="439"/>
      <c r="B155" s="34"/>
      <c r="C155" s="438"/>
      <c r="D155" s="34"/>
      <c r="E155" s="34"/>
      <c r="F155" s="439"/>
      <c r="H155" s="443"/>
      <c r="J155" s="443"/>
      <c r="L155" s="448"/>
      <c r="N155" s="448"/>
      <c r="O155" s="448"/>
      <c r="Q155" s="443"/>
      <c r="S155" s="443"/>
      <c r="U155" s="443"/>
      <c r="W155" s="443"/>
      <c r="Y155" s="443"/>
      <c r="AA155" s="443"/>
      <c r="AC155" s="443"/>
      <c r="AE155" s="443"/>
      <c r="AF155" s="439"/>
    </row>
    <row r="156" spans="1:32" s="334" customFormat="1" x14ac:dyDescent="0.25">
      <c r="A156" s="439"/>
      <c r="B156" s="34"/>
      <c r="C156" s="438"/>
      <c r="D156" s="34"/>
      <c r="E156" s="34"/>
      <c r="F156" s="439"/>
      <c r="H156" s="443"/>
      <c r="J156" s="443"/>
      <c r="L156" s="448"/>
      <c r="N156" s="448"/>
      <c r="O156" s="448"/>
      <c r="Q156" s="443"/>
      <c r="S156" s="443"/>
      <c r="U156" s="443"/>
      <c r="W156" s="443"/>
      <c r="Y156" s="443"/>
      <c r="AA156" s="443"/>
      <c r="AC156" s="443"/>
      <c r="AE156" s="443"/>
      <c r="AF156" s="439"/>
    </row>
    <row r="157" spans="1:32" s="334" customFormat="1" x14ac:dyDescent="0.25">
      <c r="A157" s="439"/>
      <c r="B157" s="34"/>
      <c r="C157" s="438"/>
      <c r="D157" s="34"/>
      <c r="E157" s="34"/>
      <c r="F157" s="439"/>
      <c r="H157" s="443"/>
      <c r="J157" s="443"/>
      <c r="L157" s="448"/>
      <c r="N157" s="448"/>
      <c r="O157" s="448"/>
      <c r="Q157" s="443"/>
      <c r="S157" s="443"/>
      <c r="U157" s="443"/>
      <c r="W157" s="443"/>
      <c r="Y157" s="443"/>
      <c r="AA157" s="443"/>
      <c r="AC157" s="443"/>
      <c r="AE157" s="443"/>
      <c r="AF157" s="439"/>
    </row>
    <row r="158" spans="1:32" s="334" customFormat="1" x14ac:dyDescent="0.25">
      <c r="A158" s="439"/>
      <c r="B158" s="34"/>
      <c r="C158" s="438"/>
      <c r="D158" s="34"/>
      <c r="E158" s="34"/>
      <c r="F158" s="439"/>
      <c r="H158" s="443"/>
      <c r="J158" s="443"/>
      <c r="L158" s="448"/>
      <c r="N158" s="448"/>
      <c r="O158" s="448"/>
      <c r="Q158" s="443"/>
      <c r="S158" s="443"/>
      <c r="U158" s="443"/>
      <c r="W158" s="443"/>
      <c r="Y158" s="443"/>
      <c r="AA158" s="443"/>
      <c r="AC158" s="443"/>
      <c r="AE158" s="443"/>
      <c r="AF158" s="439"/>
    </row>
    <row r="159" spans="1:32" s="334" customFormat="1" x14ac:dyDescent="0.25">
      <c r="A159" s="439"/>
      <c r="B159" s="34"/>
      <c r="C159" s="438"/>
      <c r="D159" s="34"/>
      <c r="E159" s="34"/>
      <c r="F159" s="439"/>
      <c r="H159" s="443"/>
      <c r="J159" s="443"/>
      <c r="L159" s="448"/>
      <c r="N159" s="448"/>
      <c r="O159" s="448"/>
      <c r="Q159" s="443"/>
      <c r="S159" s="443"/>
      <c r="U159" s="443"/>
      <c r="W159" s="443"/>
      <c r="Y159" s="443"/>
      <c r="AA159" s="443"/>
      <c r="AC159" s="443"/>
      <c r="AE159" s="443"/>
      <c r="AF159" s="439"/>
    </row>
  </sheetData>
  <mergeCells count="50">
    <mergeCell ref="A1:AF1"/>
    <mergeCell ref="A2:AF2"/>
    <mergeCell ref="F4:F7"/>
    <mergeCell ref="G4:H6"/>
    <mergeCell ref="I4:J6"/>
    <mergeCell ref="A4:A7"/>
    <mergeCell ref="B4:B7"/>
    <mergeCell ref="C4:C7"/>
    <mergeCell ref="D4:D7"/>
    <mergeCell ref="E4:E7"/>
    <mergeCell ref="K4:O6"/>
    <mergeCell ref="P4:W4"/>
    <mergeCell ref="X4:Y6"/>
    <mergeCell ref="Z4:AA6"/>
    <mergeCell ref="AB4:AC6"/>
    <mergeCell ref="AF4:AF7"/>
    <mergeCell ref="G8:H8"/>
    <mergeCell ref="I8:J8"/>
    <mergeCell ref="K8:N8"/>
    <mergeCell ref="P8:Q8"/>
    <mergeCell ref="R8:S8"/>
    <mergeCell ref="P5:Q6"/>
    <mergeCell ref="R5:S6"/>
    <mergeCell ref="T5:U6"/>
    <mergeCell ref="V5:W6"/>
    <mergeCell ref="AD4:AE6"/>
    <mergeCell ref="G115:N115"/>
    <mergeCell ref="X115:AE115"/>
    <mergeCell ref="G106:N106"/>
    <mergeCell ref="X106:AE106"/>
    <mergeCell ref="G108:N108"/>
    <mergeCell ref="X108:AE108"/>
    <mergeCell ref="G109:N109"/>
    <mergeCell ref="X109:AE109"/>
    <mergeCell ref="G113:N113"/>
    <mergeCell ref="X113:AE113"/>
    <mergeCell ref="G114:N114"/>
    <mergeCell ref="X114:AE114"/>
    <mergeCell ref="A100:C100"/>
    <mergeCell ref="A101:C101"/>
    <mergeCell ref="A102:C102"/>
    <mergeCell ref="A103:C103"/>
    <mergeCell ref="G105:N105"/>
    <mergeCell ref="Y105:AD105"/>
    <mergeCell ref="T8:U8"/>
    <mergeCell ref="V8:W8"/>
    <mergeCell ref="X8:Y8"/>
    <mergeCell ref="Z8:AA8"/>
    <mergeCell ref="AB8:AC8"/>
    <mergeCell ref="AD8:AE8"/>
  </mergeCells>
  <printOptions horizontalCentered="1"/>
  <pageMargins left="0.19685039370078741" right="0.19685039370078741" top="1.1811023622047245" bottom="0.59055118110236227" header="0.31496062992125984" footer="0.31496062992125984"/>
  <pageSetup paperSize="14" scale="35" firstPageNumber="12" fitToHeight="0" orientation="landscape" useFirstPageNumber="1" r:id="rId1"/>
  <headerFooter>
    <oddFooter>&amp;L&amp;"Goudy Old Style,Italic"&amp;12Dinas Sosial Kabupaten Cilacap&amp;"-,Regular" &amp;"-,Bold"|&amp;"-,Regular" &amp;"Candara,Regular"Perubahan Renja Tahun 2022&amp;R&amp;"Arial Rounded MT Bold,Regular"&amp;12&amp;P</oddFooter>
  </headerFooter>
  <rowBreaks count="3" manualBreakCount="3">
    <brk id="59" max="31" man="1"/>
    <brk id="78" max="31" man="1"/>
    <brk id="103" max="3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AJ129"/>
  <sheetViews>
    <sheetView topLeftCell="C76" zoomScale="55" zoomScaleNormal="55" workbookViewId="0">
      <selection activeCell="R55" sqref="R55"/>
    </sheetView>
  </sheetViews>
  <sheetFormatPr defaultColWidth="8.7109375" defaultRowHeight="15.75" x14ac:dyDescent="0.25"/>
  <cols>
    <col min="1" max="1" width="2.5703125" style="17" hidden="1" customWidth="1"/>
    <col min="2" max="2" width="18.42578125" style="17" hidden="1" customWidth="1"/>
    <col min="3" max="3" width="3.7109375" style="22" customWidth="1"/>
    <col min="4" max="5" width="5.7109375" style="22" customWidth="1"/>
    <col min="6" max="6" width="7.7109375" style="22" customWidth="1"/>
    <col min="7" max="7" width="5.7109375" style="22" customWidth="1"/>
    <col min="8" max="8" width="49.85546875" style="17" customWidth="1"/>
    <col min="9" max="10" width="20.7109375" style="17" customWidth="1"/>
    <col min="11" max="11" width="23.7109375" style="17" customWidth="1"/>
    <col min="12" max="13" width="20.7109375" style="22" customWidth="1"/>
    <col min="14" max="14" width="23.7109375" style="22" customWidth="1"/>
    <col min="15" max="20" width="15.7109375" style="22" customWidth="1"/>
    <col min="21" max="21" width="22.7109375" style="532" customWidth="1"/>
    <col min="22" max="22" width="27.5703125" style="550" customWidth="1"/>
    <col min="23" max="23" width="25.140625" style="550" bestFit="1" customWidth="1"/>
    <col min="24" max="24" width="29.42578125" style="550" customWidth="1"/>
    <col min="25" max="25" width="23.5703125" style="550" customWidth="1"/>
    <col min="26" max="26" width="22.85546875" style="485" customWidth="1"/>
    <col min="27" max="27" width="19.140625" style="17" customWidth="1"/>
    <col min="28" max="28" width="20" style="17" bestFit="1" customWidth="1"/>
    <col min="29" max="29" width="18.28515625" style="17" customWidth="1"/>
    <col min="30" max="30" width="0" style="17" hidden="1" customWidth="1"/>
    <col min="31" max="31" width="97.5703125" style="17" bestFit="1" customWidth="1"/>
    <col min="32" max="35" width="8.7109375" style="17"/>
    <col min="36" max="36" width="13.85546875" style="17" bestFit="1" customWidth="1"/>
    <col min="37" max="16384" width="8.7109375" style="17"/>
  </cols>
  <sheetData>
    <row r="1" spans="1:36" x14ac:dyDescent="0.25">
      <c r="B1" s="1"/>
      <c r="C1" s="994" t="s">
        <v>183</v>
      </c>
      <c r="D1" s="994"/>
      <c r="E1" s="994"/>
      <c r="F1" s="994"/>
      <c r="G1" s="994"/>
      <c r="H1" s="994"/>
      <c r="I1" s="994"/>
      <c r="J1" s="994"/>
      <c r="K1" s="994"/>
      <c r="L1" s="994"/>
      <c r="M1" s="994"/>
      <c r="N1" s="994"/>
      <c r="O1" s="994"/>
      <c r="P1" s="994"/>
      <c r="Q1" s="994"/>
      <c r="R1" s="994"/>
      <c r="S1" s="994"/>
      <c r="T1" s="994"/>
      <c r="U1" s="994"/>
      <c r="V1" s="994"/>
      <c r="W1" s="994"/>
      <c r="X1" s="994"/>
      <c r="Y1" s="994"/>
      <c r="Z1" s="994"/>
      <c r="AA1" s="3"/>
      <c r="AB1" s="474"/>
    </row>
    <row r="2" spans="1:36" x14ac:dyDescent="0.25">
      <c r="B2" s="1"/>
      <c r="C2" s="994" t="s">
        <v>217</v>
      </c>
      <c r="D2" s="994"/>
      <c r="E2" s="994"/>
      <c r="F2" s="994"/>
      <c r="G2" s="994"/>
      <c r="H2" s="994"/>
      <c r="I2" s="994"/>
      <c r="J2" s="994"/>
      <c r="K2" s="994"/>
      <c r="L2" s="994"/>
      <c r="M2" s="994"/>
      <c r="N2" s="994"/>
      <c r="O2" s="994"/>
      <c r="P2" s="994"/>
      <c r="Q2" s="994"/>
      <c r="R2" s="994"/>
      <c r="S2" s="994"/>
      <c r="T2" s="994"/>
      <c r="U2" s="994"/>
      <c r="V2" s="994"/>
      <c r="W2" s="994"/>
      <c r="X2" s="994"/>
      <c r="Y2" s="994"/>
      <c r="Z2" s="994"/>
      <c r="AA2" s="3"/>
      <c r="AB2" s="474"/>
    </row>
    <row r="3" spans="1:36" x14ac:dyDescent="0.25">
      <c r="B3" s="1"/>
      <c r="C3" s="4"/>
      <c r="D3" s="4"/>
      <c r="E3" s="4"/>
      <c r="F3" s="4"/>
      <c r="G3" s="4"/>
      <c r="H3" s="1"/>
      <c r="I3" s="1"/>
      <c r="J3" s="1"/>
      <c r="K3" s="1"/>
      <c r="L3" s="4"/>
      <c r="M3" s="4"/>
      <c r="N3" s="4"/>
      <c r="O3" s="4"/>
      <c r="P3" s="4"/>
      <c r="Q3" s="4"/>
      <c r="R3" s="4"/>
      <c r="S3" s="4"/>
      <c r="T3" s="4"/>
      <c r="U3" s="530"/>
      <c r="V3" s="544"/>
      <c r="W3" s="544"/>
      <c r="X3" s="545"/>
      <c r="Y3" s="545"/>
      <c r="Z3" s="2"/>
      <c r="AA3" s="3"/>
      <c r="AB3" s="474"/>
    </row>
    <row r="4" spans="1:36" s="534" customFormat="1" ht="45" customHeight="1" x14ac:dyDescent="0.25">
      <c r="B4" s="995" t="s">
        <v>127</v>
      </c>
      <c r="C4" s="995"/>
      <c r="D4" s="995"/>
      <c r="E4" s="995"/>
      <c r="F4" s="995"/>
      <c r="G4" s="995"/>
      <c r="H4" s="995" t="s">
        <v>128</v>
      </c>
      <c r="I4" s="1003" t="s">
        <v>224</v>
      </c>
      <c r="J4" s="1004"/>
      <c r="K4" s="1005"/>
      <c r="L4" s="1003" t="s">
        <v>225</v>
      </c>
      <c r="M4" s="1004"/>
      <c r="N4" s="1005"/>
      <c r="O4" s="1003" t="s">
        <v>215</v>
      </c>
      <c r="P4" s="1004"/>
      <c r="Q4" s="1005"/>
      <c r="R4" s="1004" t="s">
        <v>216</v>
      </c>
      <c r="S4" s="1004"/>
      <c r="T4" s="1005"/>
      <c r="U4" s="996" t="s">
        <v>129</v>
      </c>
      <c r="V4" s="998" t="s">
        <v>131</v>
      </c>
      <c r="W4" s="999" t="s">
        <v>132</v>
      </c>
      <c r="X4" s="998" t="s">
        <v>133</v>
      </c>
      <c r="Y4" s="1001" t="s">
        <v>134</v>
      </c>
      <c r="Z4" s="995" t="s">
        <v>135</v>
      </c>
      <c r="AA4" s="535"/>
      <c r="AB4" s="536"/>
    </row>
    <row r="5" spans="1:36" s="534" customFormat="1" ht="47.25" x14ac:dyDescent="0.25">
      <c r="B5" s="995"/>
      <c r="C5" s="995"/>
      <c r="D5" s="995"/>
      <c r="E5" s="995"/>
      <c r="F5" s="995"/>
      <c r="G5" s="995"/>
      <c r="H5" s="995"/>
      <c r="I5" s="32" t="s">
        <v>226</v>
      </c>
      <c r="J5" s="32" t="s">
        <v>223</v>
      </c>
      <c r="K5" s="32" t="s">
        <v>222</v>
      </c>
      <c r="L5" s="32" t="s">
        <v>226</v>
      </c>
      <c r="M5" s="32" t="s">
        <v>223</v>
      </c>
      <c r="N5" s="32" t="s">
        <v>222</v>
      </c>
      <c r="O5" s="32" t="s">
        <v>221</v>
      </c>
      <c r="P5" s="32" t="s">
        <v>223</v>
      </c>
      <c r="Q5" s="32" t="s">
        <v>222</v>
      </c>
      <c r="R5" s="32" t="s">
        <v>221</v>
      </c>
      <c r="S5" s="32" t="s">
        <v>223</v>
      </c>
      <c r="T5" s="32" t="s">
        <v>222</v>
      </c>
      <c r="U5" s="997"/>
      <c r="V5" s="998"/>
      <c r="W5" s="999"/>
      <c r="X5" s="998"/>
      <c r="Y5" s="1002"/>
      <c r="Z5" s="995"/>
      <c r="AG5" s="534" t="s">
        <v>136</v>
      </c>
      <c r="AJ5" s="537" t="s">
        <v>130</v>
      </c>
    </row>
    <row r="6" spans="1:36" s="475" customFormat="1" ht="47.25" x14ac:dyDescent="0.25">
      <c r="A6" s="475" t="s">
        <v>137</v>
      </c>
      <c r="B6" s="476"/>
      <c r="C6" s="1000">
        <v>1</v>
      </c>
      <c r="D6" s="1000"/>
      <c r="E6" s="1000"/>
      <c r="F6" s="1000"/>
      <c r="G6" s="1000"/>
      <c r="H6" s="595">
        <v>2</v>
      </c>
      <c r="I6" s="595">
        <v>3</v>
      </c>
      <c r="J6" s="595">
        <v>4</v>
      </c>
      <c r="K6" s="596">
        <v>5</v>
      </c>
      <c r="L6" s="595">
        <v>6</v>
      </c>
      <c r="M6" s="595">
        <v>7</v>
      </c>
      <c r="N6" s="595">
        <v>8</v>
      </c>
      <c r="O6" s="595">
        <v>9</v>
      </c>
      <c r="P6" s="595">
        <v>10</v>
      </c>
      <c r="Q6" s="595">
        <v>11</v>
      </c>
      <c r="R6" s="595">
        <v>12</v>
      </c>
      <c r="S6" s="595">
        <v>13</v>
      </c>
      <c r="T6" s="595">
        <v>14</v>
      </c>
      <c r="U6" s="595">
        <v>15</v>
      </c>
      <c r="V6" s="597">
        <v>16</v>
      </c>
      <c r="W6" s="598">
        <v>17</v>
      </c>
      <c r="X6" s="598">
        <v>18</v>
      </c>
      <c r="Y6" s="598">
        <v>19</v>
      </c>
      <c r="Z6" s="599">
        <v>20</v>
      </c>
      <c r="AE6" s="649" t="s">
        <v>138</v>
      </c>
    </row>
    <row r="7" spans="1:36" ht="31.5" x14ac:dyDescent="0.25">
      <c r="B7" s="5" t="s">
        <v>166</v>
      </c>
      <c r="C7" s="600" t="s">
        <v>363</v>
      </c>
      <c r="D7" s="601"/>
      <c r="E7" s="602"/>
      <c r="F7" s="602"/>
      <c r="G7" s="602"/>
      <c r="H7" s="601"/>
      <c r="I7" s="601"/>
      <c r="J7" s="601"/>
      <c r="K7" s="603"/>
      <c r="L7" s="604"/>
      <c r="M7" s="604"/>
      <c r="N7" s="604"/>
      <c r="O7" s="604"/>
      <c r="P7" s="604"/>
      <c r="Q7" s="604"/>
      <c r="R7" s="604"/>
      <c r="S7" s="604"/>
      <c r="T7" s="604"/>
      <c r="U7" s="579"/>
      <c r="V7" s="580"/>
      <c r="W7" s="580"/>
      <c r="X7" s="580"/>
      <c r="Y7" s="581"/>
      <c r="Z7" s="605"/>
      <c r="AA7" s="18" t="s">
        <v>167</v>
      </c>
    </row>
    <row r="8" spans="1:36" ht="34.5" customHeight="1" x14ac:dyDescent="0.25">
      <c r="B8" s="5"/>
      <c r="C8" s="600" t="s">
        <v>364</v>
      </c>
      <c r="D8" s="602"/>
      <c r="E8" s="602"/>
      <c r="F8" s="602"/>
      <c r="G8" s="602"/>
      <c r="H8" s="601"/>
      <c r="I8" s="601"/>
      <c r="J8" s="601"/>
      <c r="K8" s="603"/>
      <c r="L8" s="604"/>
      <c r="M8" s="604"/>
      <c r="N8" s="604"/>
      <c r="O8" s="604"/>
      <c r="P8" s="604"/>
      <c r="Q8" s="604"/>
      <c r="R8" s="604"/>
      <c r="S8" s="604"/>
      <c r="T8" s="604"/>
      <c r="U8" s="579"/>
      <c r="V8" s="580"/>
      <c r="W8" s="580"/>
      <c r="X8" s="580"/>
      <c r="Y8" s="581"/>
      <c r="Z8" s="605"/>
      <c r="AA8" s="18"/>
    </row>
    <row r="9" spans="1:36" ht="31.5" x14ac:dyDescent="0.25">
      <c r="B9" s="5" t="s">
        <v>166</v>
      </c>
      <c r="C9" s="578" t="s">
        <v>139</v>
      </c>
      <c r="D9" s="578">
        <f>SUBTOTAL(9,D7:D7)</f>
        <v>0</v>
      </c>
      <c r="E9" s="578"/>
      <c r="F9" s="578"/>
      <c r="G9" s="578"/>
      <c r="H9" s="606" t="s">
        <v>218</v>
      </c>
      <c r="I9" s="607"/>
      <c r="J9" s="607"/>
      <c r="K9" s="608"/>
      <c r="L9" s="604"/>
      <c r="M9" s="604"/>
      <c r="N9" s="604"/>
      <c r="O9" s="604"/>
      <c r="P9" s="604"/>
      <c r="Q9" s="604"/>
      <c r="R9" s="604"/>
      <c r="S9" s="604"/>
      <c r="T9" s="604"/>
      <c r="U9" s="579"/>
      <c r="V9" s="580"/>
      <c r="W9" s="580"/>
      <c r="X9" s="580"/>
      <c r="Y9" s="581"/>
      <c r="Z9" s="582"/>
      <c r="AA9" s="18" t="s">
        <v>167</v>
      </c>
    </row>
    <row r="10" spans="1:36" ht="31.5" x14ac:dyDescent="0.25">
      <c r="B10" s="5" t="s">
        <v>166</v>
      </c>
      <c r="C10" s="578" t="s">
        <v>139</v>
      </c>
      <c r="D10" s="578" t="s">
        <v>154</v>
      </c>
      <c r="E10" s="578"/>
      <c r="F10" s="578"/>
      <c r="G10" s="578"/>
      <c r="H10" s="606" t="s">
        <v>219</v>
      </c>
      <c r="I10" s="607"/>
      <c r="J10" s="607"/>
      <c r="K10" s="608"/>
      <c r="L10" s="604"/>
      <c r="M10" s="604"/>
      <c r="N10" s="604"/>
      <c r="O10" s="604"/>
      <c r="P10" s="604"/>
      <c r="Q10" s="604"/>
      <c r="R10" s="604"/>
      <c r="S10" s="604"/>
      <c r="T10" s="604"/>
      <c r="U10" s="579"/>
      <c r="V10" s="580">
        <f>V11+V42+V63+V88+V105</f>
        <v>8480721310</v>
      </c>
      <c r="W10" s="580">
        <f>W11+W42+W63+W88+W105</f>
        <v>7871278276</v>
      </c>
      <c r="X10" s="580">
        <f>X11+X42+X63+X88+X105</f>
        <v>9051253150</v>
      </c>
      <c r="Y10" s="643">
        <f>Y11+Y42+Y63+Y88+Y105</f>
        <v>1179974874</v>
      </c>
      <c r="Z10" s="582"/>
      <c r="AA10" s="18" t="s">
        <v>167</v>
      </c>
    </row>
    <row r="11" spans="1:36" ht="35.1" customHeight="1" x14ac:dyDescent="0.25">
      <c r="A11" s="17" t="str">
        <f>AA11</f>
        <v>Dinas Sosial</v>
      </c>
      <c r="B11" s="5" t="s">
        <v>166</v>
      </c>
      <c r="C11" s="551" t="s">
        <v>139</v>
      </c>
      <c r="D11" s="551" t="s">
        <v>154</v>
      </c>
      <c r="E11" s="551" t="s">
        <v>140</v>
      </c>
      <c r="F11" s="551"/>
      <c r="G11" s="551"/>
      <c r="H11" s="552" t="s">
        <v>220</v>
      </c>
      <c r="I11" s="553"/>
      <c r="J11" s="554"/>
      <c r="K11" s="553"/>
      <c r="L11" s="555"/>
      <c r="M11" s="551"/>
      <c r="N11" s="555"/>
      <c r="O11" s="556"/>
      <c r="P11" s="557"/>
      <c r="Q11" s="557"/>
      <c r="R11" s="556"/>
      <c r="S11" s="557"/>
      <c r="T11" s="557"/>
      <c r="U11" s="558"/>
      <c r="V11" s="559">
        <f>V12+V18+V21+V30+V35</f>
        <v>5457702660</v>
      </c>
      <c r="W11" s="559">
        <f t="shared" ref="W11:X11" si="0">W12+W18+W21+W30+W35</f>
        <v>4857709626</v>
      </c>
      <c r="X11" s="559">
        <f t="shared" si="0"/>
        <v>4955698000</v>
      </c>
      <c r="Y11" s="644">
        <f>X11-W11</f>
        <v>97988374</v>
      </c>
      <c r="Z11" s="560"/>
      <c r="AA11" s="18" t="s">
        <v>167</v>
      </c>
    </row>
    <row r="12" spans="1:36" ht="31.5" x14ac:dyDescent="0.25">
      <c r="B12" s="5" t="s">
        <v>166</v>
      </c>
      <c r="C12" s="569" t="s">
        <v>139</v>
      </c>
      <c r="D12" s="569" t="s">
        <v>154</v>
      </c>
      <c r="E12" s="569" t="s">
        <v>140</v>
      </c>
      <c r="F12" s="570" t="s">
        <v>141</v>
      </c>
      <c r="G12" s="569"/>
      <c r="H12" s="587" t="s">
        <v>17</v>
      </c>
      <c r="I12" s="588"/>
      <c r="J12" s="588"/>
      <c r="K12" s="592"/>
      <c r="L12" s="569"/>
      <c r="M12" s="569"/>
      <c r="N12" s="594"/>
      <c r="O12" s="590"/>
      <c r="P12" s="593"/>
      <c r="Q12" s="593"/>
      <c r="R12" s="590"/>
      <c r="S12" s="593"/>
      <c r="T12" s="593"/>
      <c r="U12" s="572"/>
      <c r="V12" s="576">
        <f>V13+V16</f>
        <v>39150000</v>
      </c>
      <c r="W12" s="576">
        <f t="shared" ref="W12:X12" si="1">W13+W16</f>
        <v>36587500</v>
      </c>
      <c r="X12" s="576">
        <f t="shared" si="1"/>
        <v>36587500</v>
      </c>
      <c r="Y12" s="645">
        <f>SUM(Y13:Y17)</f>
        <v>0</v>
      </c>
      <c r="Z12" s="584"/>
      <c r="AA12" s="18" t="s">
        <v>167</v>
      </c>
    </row>
    <row r="13" spans="1:36" ht="102" customHeight="1" x14ac:dyDescent="0.25">
      <c r="B13" s="9" t="s">
        <v>166</v>
      </c>
      <c r="C13" s="10" t="s">
        <v>139</v>
      </c>
      <c r="D13" s="10" t="s">
        <v>154</v>
      </c>
      <c r="E13" s="10" t="s">
        <v>140</v>
      </c>
      <c r="F13" s="11" t="s">
        <v>141</v>
      </c>
      <c r="G13" s="10" t="s">
        <v>140</v>
      </c>
      <c r="H13" s="9" t="s">
        <v>18</v>
      </c>
      <c r="I13" s="9" t="s">
        <v>365</v>
      </c>
      <c r="J13" s="9" t="s">
        <v>366</v>
      </c>
      <c r="K13" s="477" t="s">
        <v>247</v>
      </c>
      <c r="L13" s="9" t="s">
        <v>365</v>
      </c>
      <c r="M13" s="9" t="s">
        <v>366</v>
      </c>
      <c r="N13" s="477" t="s">
        <v>247</v>
      </c>
      <c r="O13" s="486">
        <v>1</v>
      </c>
      <c r="P13" s="486">
        <v>0.5</v>
      </c>
      <c r="Q13" s="487" t="s">
        <v>144</v>
      </c>
      <c r="R13" s="486">
        <v>1</v>
      </c>
      <c r="S13" s="486">
        <v>0.5</v>
      </c>
      <c r="T13" s="487" t="s">
        <v>144</v>
      </c>
      <c r="U13" s="28" t="s">
        <v>382</v>
      </c>
      <c r="V13" s="547">
        <f>V15</f>
        <v>25000000</v>
      </c>
      <c r="W13" s="547">
        <f>W15</f>
        <v>22437500</v>
      </c>
      <c r="X13" s="547">
        <f>X15</f>
        <v>22437500</v>
      </c>
      <c r="Y13" s="646"/>
      <c r="Z13" s="12"/>
      <c r="AA13" s="18" t="s">
        <v>167</v>
      </c>
      <c r="AD13" s="17" t="e">
        <f>VLOOKUP(AA13&amp;H13,#REF!,9,FALSE)</f>
        <v>#REF!</v>
      </c>
    </row>
    <row r="14" spans="1:36" ht="72" customHeight="1" x14ac:dyDescent="0.25">
      <c r="B14" s="9"/>
      <c r="C14" s="10"/>
      <c r="D14" s="10"/>
      <c r="E14" s="10"/>
      <c r="F14" s="11"/>
      <c r="G14" s="10"/>
      <c r="H14" s="9"/>
      <c r="I14" s="9"/>
      <c r="J14" s="9"/>
      <c r="K14" s="477" t="s">
        <v>248</v>
      </c>
      <c r="L14" s="9"/>
      <c r="M14" s="9"/>
      <c r="N14" s="477" t="s">
        <v>248</v>
      </c>
      <c r="O14" s="10"/>
      <c r="P14" s="10"/>
      <c r="Q14" s="487" t="s">
        <v>142</v>
      </c>
      <c r="R14" s="10"/>
      <c r="S14" s="10"/>
      <c r="T14" s="487" t="s">
        <v>142</v>
      </c>
      <c r="U14" s="28" t="s">
        <v>382</v>
      </c>
      <c r="V14" s="547"/>
      <c r="W14" s="547"/>
      <c r="X14" s="547"/>
      <c r="Y14" s="646"/>
      <c r="Z14" s="12"/>
      <c r="AA14" s="18"/>
    </row>
    <row r="15" spans="1:36" s="490" customFormat="1" ht="36.75" customHeight="1" x14ac:dyDescent="0.25">
      <c r="B15" s="469"/>
      <c r="C15" s="491"/>
      <c r="D15" s="491"/>
      <c r="E15" s="491"/>
      <c r="F15" s="492"/>
      <c r="G15" s="491"/>
      <c r="H15" s="469" t="s">
        <v>18</v>
      </c>
      <c r="I15" s="469"/>
      <c r="J15" s="469"/>
      <c r="K15" s="493"/>
      <c r="L15" s="469"/>
      <c r="M15" s="469"/>
      <c r="N15" s="493"/>
      <c r="O15" s="491"/>
      <c r="P15" s="491"/>
      <c r="Q15" s="494"/>
      <c r="R15" s="491"/>
      <c r="S15" s="491"/>
      <c r="T15" s="494"/>
      <c r="U15" s="503"/>
      <c r="V15" s="548">
        <v>25000000</v>
      </c>
      <c r="W15" s="548">
        <v>22437500</v>
      </c>
      <c r="X15" s="548">
        <v>22437500</v>
      </c>
      <c r="Y15" s="646"/>
      <c r="Z15" s="497"/>
      <c r="AA15" s="498"/>
    </row>
    <row r="16" spans="1:36" ht="94.5" x14ac:dyDescent="0.25">
      <c r="B16" s="9" t="s">
        <v>166</v>
      </c>
      <c r="C16" s="10">
        <v>1</v>
      </c>
      <c r="D16" s="10">
        <v>6</v>
      </c>
      <c r="E16" s="10">
        <v>1</v>
      </c>
      <c r="F16" s="11" t="s">
        <v>141</v>
      </c>
      <c r="G16" s="10">
        <v>7</v>
      </c>
      <c r="H16" s="9" t="s">
        <v>20</v>
      </c>
      <c r="I16" s="9" t="s">
        <v>365</v>
      </c>
      <c r="J16" s="9" t="s">
        <v>366</v>
      </c>
      <c r="K16" s="25" t="s">
        <v>143</v>
      </c>
      <c r="L16" s="9" t="s">
        <v>365</v>
      </c>
      <c r="M16" s="9" t="s">
        <v>366</v>
      </c>
      <c r="N16" s="25" t="s">
        <v>143</v>
      </c>
      <c r="O16" s="486">
        <v>1</v>
      </c>
      <c r="P16" s="486">
        <v>0.5</v>
      </c>
      <c r="Q16" s="487" t="s">
        <v>144</v>
      </c>
      <c r="R16" s="486">
        <v>1</v>
      </c>
      <c r="S16" s="486">
        <v>0.5</v>
      </c>
      <c r="T16" s="487" t="s">
        <v>144</v>
      </c>
      <c r="U16" s="28" t="s">
        <v>382</v>
      </c>
      <c r="V16" s="547">
        <f>V17</f>
        <v>14150000</v>
      </c>
      <c r="W16" s="547">
        <f t="shared" ref="W16:X16" si="2">W17</f>
        <v>14150000</v>
      </c>
      <c r="X16" s="547">
        <f t="shared" si="2"/>
        <v>14150000</v>
      </c>
      <c r="Y16" s="646"/>
      <c r="Z16" s="12"/>
      <c r="AA16" s="18" t="s">
        <v>167</v>
      </c>
      <c r="AD16" s="17" t="e">
        <f>VLOOKUP(AA16&amp;H16,#REF!,9,FALSE)</f>
        <v>#REF!</v>
      </c>
    </row>
    <row r="17" spans="2:30" s="490" customFormat="1" ht="23.25" customHeight="1" x14ac:dyDescent="0.25">
      <c r="B17" s="469"/>
      <c r="C17" s="491"/>
      <c r="D17" s="491"/>
      <c r="E17" s="491"/>
      <c r="F17" s="492"/>
      <c r="G17" s="491"/>
      <c r="H17" s="469" t="s">
        <v>20</v>
      </c>
      <c r="I17" s="469"/>
      <c r="J17" s="470"/>
      <c r="K17" s="499"/>
      <c r="L17" s="469"/>
      <c r="M17" s="470"/>
      <c r="N17" s="499"/>
      <c r="O17" s="491"/>
      <c r="P17" s="500"/>
      <c r="Q17" s="494"/>
      <c r="R17" s="491"/>
      <c r="S17" s="500"/>
      <c r="T17" s="494"/>
      <c r="U17" s="503"/>
      <c r="V17" s="548">
        <v>14150000</v>
      </c>
      <c r="W17" s="548">
        <v>14150000</v>
      </c>
      <c r="X17" s="548">
        <v>14150000</v>
      </c>
      <c r="Y17" s="646"/>
      <c r="Z17" s="497"/>
      <c r="AA17" s="498"/>
    </row>
    <row r="18" spans="2:30" ht="31.5" x14ac:dyDescent="0.25">
      <c r="B18" s="5" t="s">
        <v>166</v>
      </c>
      <c r="C18" s="569" t="s">
        <v>139</v>
      </c>
      <c r="D18" s="569" t="s">
        <v>154</v>
      </c>
      <c r="E18" s="569" t="s">
        <v>140</v>
      </c>
      <c r="F18" s="570" t="s">
        <v>147</v>
      </c>
      <c r="G18" s="569"/>
      <c r="H18" s="587" t="s">
        <v>22</v>
      </c>
      <c r="I18" s="588"/>
      <c r="J18" s="592"/>
      <c r="K18" s="592"/>
      <c r="L18" s="588"/>
      <c r="M18" s="592"/>
      <c r="N18" s="592"/>
      <c r="O18" s="593"/>
      <c r="P18" s="593"/>
      <c r="Q18" s="593"/>
      <c r="R18" s="593"/>
      <c r="S18" s="593"/>
      <c r="T18" s="593"/>
      <c r="U18" s="572"/>
      <c r="V18" s="576">
        <f>V19</f>
        <v>3458289740</v>
      </c>
      <c r="W18" s="576">
        <f t="shared" ref="W18:X18" si="3">W19</f>
        <v>3193719926</v>
      </c>
      <c r="X18" s="576">
        <f t="shared" si="3"/>
        <v>3220108300</v>
      </c>
      <c r="Y18" s="645">
        <f t="shared" ref="Y18:Y48" si="4">X18-W18</f>
        <v>26388374</v>
      </c>
      <c r="Z18" s="584"/>
      <c r="AA18" s="18" t="s">
        <v>167</v>
      </c>
    </row>
    <row r="19" spans="2:30" ht="84.75" customHeight="1" x14ac:dyDescent="0.25">
      <c r="B19" s="9" t="s">
        <v>166</v>
      </c>
      <c r="C19" s="10">
        <v>1</v>
      </c>
      <c r="D19" s="10">
        <v>6</v>
      </c>
      <c r="E19" s="10">
        <v>1</v>
      </c>
      <c r="F19" s="10" t="s">
        <v>147</v>
      </c>
      <c r="G19" s="19" t="s">
        <v>140</v>
      </c>
      <c r="H19" s="9" t="s">
        <v>23</v>
      </c>
      <c r="I19" s="9" t="s">
        <v>21</v>
      </c>
      <c r="J19" s="26" t="s">
        <v>368</v>
      </c>
      <c r="K19" s="25" t="s">
        <v>148</v>
      </c>
      <c r="L19" s="9" t="s">
        <v>21</v>
      </c>
      <c r="M19" s="26" t="s">
        <v>368</v>
      </c>
      <c r="N19" s="25" t="s">
        <v>148</v>
      </c>
      <c r="O19" s="528">
        <v>1</v>
      </c>
      <c r="P19" s="528">
        <v>1</v>
      </c>
      <c r="Q19" s="27" t="s">
        <v>146</v>
      </c>
      <c r="R19" s="528">
        <v>1</v>
      </c>
      <c r="S19" s="528">
        <v>1</v>
      </c>
      <c r="T19" s="27" t="s">
        <v>146</v>
      </c>
      <c r="U19" s="28" t="s">
        <v>382</v>
      </c>
      <c r="V19" s="547">
        <f>V20</f>
        <v>3458289740</v>
      </c>
      <c r="W19" s="547">
        <f t="shared" ref="W19:X19" si="5">W20</f>
        <v>3193719926</v>
      </c>
      <c r="X19" s="547">
        <f t="shared" si="5"/>
        <v>3220108300</v>
      </c>
      <c r="Y19" s="646">
        <f t="shared" si="4"/>
        <v>26388374</v>
      </c>
      <c r="Z19" s="12"/>
      <c r="AA19" s="18" t="s">
        <v>167</v>
      </c>
      <c r="AD19" s="17" t="e">
        <f>VLOOKUP(AA19&amp;H19,#REF!,9,FALSE)</f>
        <v>#REF!</v>
      </c>
    </row>
    <row r="20" spans="2:30" s="490" customFormat="1" ht="24.75" customHeight="1" x14ac:dyDescent="0.25">
      <c r="B20" s="469"/>
      <c r="C20" s="491"/>
      <c r="D20" s="491"/>
      <c r="E20" s="491"/>
      <c r="F20" s="491"/>
      <c r="G20" s="501"/>
      <c r="H20" s="469" t="s">
        <v>23</v>
      </c>
      <c r="I20" s="469"/>
      <c r="J20" s="470"/>
      <c r="K20" s="499"/>
      <c r="L20" s="469"/>
      <c r="M20" s="470"/>
      <c r="N20" s="499"/>
      <c r="O20" s="495"/>
      <c r="P20" s="495"/>
      <c r="Q20" s="495"/>
      <c r="R20" s="495"/>
      <c r="S20" s="495"/>
      <c r="T20" s="495"/>
      <c r="U20" s="503"/>
      <c r="V20" s="548">
        <v>3458289740</v>
      </c>
      <c r="W20" s="548">
        <v>3193719926</v>
      </c>
      <c r="X20" s="548">
        <v>3220108300</v>
      </c>
      <c r="Y20" s="647">
        <f t="shared" si="4"/>
        <v>26388374</v>
      </c>
      <c r="Z20" s="497"/>
      <c r="AA20" s="498"/>
    </row>
    <row r="21" spans="2:30" ht="31.5" x14ac:dyDescent="0.25">
      <c r="B21" s="5" t="s">
        <v>166</v>
      </c>
      <c r="C21" s="569" t="s">
        <v>139</v>
      </c>
      <c r="D21" s="569" t="s">
        <v>154</v>
      </c>
      <c r="E21" s="569" t="s">
        <v>140</v>
      </c>
      <c r="F21" s="569" t="s">
        <v>152</v>
      </c>
      <c r="G21" s="569"/>
      <c r="H21" s="587" t="s">
        <v>35</v>
      </c>
      <c r="I21" s="588"/>
      <c r="J21" s="589"/>
      <c r="K21" s="591"/>
      <c r="L21" s="588"/>
      <c r="M21" s="589"/>
      <c r="N21" s="591"/>
      <c r="O21" s="590"/>
      <c r="P21" s="590"/>
      <c r="Q21" s="590"/>
      <c r="R21" s="590"/>
      <c r="S21" s="590"/>
      <c r="T21" s="590"/>
      <c r="U21" s="572"/>
      <c r="V21" s="576">
        <f>V22+V24+V26+V28</f>
        <v>896623700</v>
      </c>
      <c r="W21" s="576">
        <f t="shared" ref="W21:X21" si="6">W22+W24+W26+W28</f>
        <v>663236200</v>
      </c>
      <c r="X21" s="576">
        <f t="shared" si="6"/>
        <v>733236200</v>
      </c>
      <c r="Y21" s="645">
        <f t="shared" si="4"/>
        <v>70000000</v>
      </c>
      <c r="Z21" s="584"/>
      <c r="AA21" s="18" t="s">
        <v>167</v>
      </c>
    </row>
    <row r="22" spans="2:30" ht="86.25" customHeight="1" x14ac:dyDescent="0.25">
      <c r="B22" s="9" t="s">
        <v>166</v>
      </c>
      <c r="C22" s="10" t="s">
        <v>139</v>
      </c>
      <c r="D22" s="10" t="s">
        <v>154</v>
      </c>
      <c r="E22" s="10" t="s">
        <v>140</v>
      </c>
      <c r="F22" s="10" t="s">
        <v>152</v>
      </c>
      <c r="G22" s="10" t="s">
        <v>149</v>
      </c>
      <c r="H22" s="9" t="s">
        <v>36</v>
      </c>
      <c r="I22" s="9" t="s">
        <v>34</v>
      </c>
      <c r="J22" s="26" t="s">
        <v>369</v>
      </c>
      <c r="K22" s="28" t="s">
        <v>264</v>
      </c>
      <c r="L22" s="9" t="s">
        <v>34</v>
      </c>
      <c r="M22" s="26" t="s">
        <v>369</v>
      </c>
      <c r="N22" s="28" t="s">
        <v>264</v>
      </c>
      <c r="O22" s="528">
        <v>1</v>
      </c>
      <c r="P22" s="528">
        <v>0.25</v>
      </c>
      <c r="Q22" s="27" t="s">
        <v>146</v>
      </c>
      <c r="R22" s="528">
        <v>1</v>
      </c>
      <c r="S22" s="528">
        <v>0.25</v>
      </c>
      <c r="T22" s="27" t="s">
        <v>146</v>
      </c>
      <c r="U22" s="28" t="s">
        <v>382</v>
      </c>
      <c r="V22" s="547">
        <f>V23</f>
        <v>96622700</v>
      </c>
      <c r="W22" s="547">
        <f>W23</f>
        <v>96622700</v>
      </c>
      <c r="X22" s="547">
        <f>X23</f>
        <v>96622700</v>
      </c>
      <c r="Y22" s="646"/>
      <c r="Z22" s="12"/>
      <c r="AA22" s="18" t="s">
        <v>167</v>
      </c>
      <c r="AD22" s="17" t="e">
        <f>VLOOKUP(AA22&amp;H22,#REF!,9,FALSE)</f>
        <v>#REF!</v>
      </c>
    </row>
    <row r="23" spans="2:30" s="490" customFormat="1" ht="36.75" customHeight="1" x14ac:dyDescent="0.25">
      <c r="B23" s="469"/>
      <c r="C23" s="491"/>
      <c r="D23" s="491"/>
      <c r="E23" s="491"/>
      <c r="F23" s="491"/>
      <c r="G23" s="491"/>
      <c r="H23" s="469" t="s">
        <v>36</v>
      </c>
      <c r="I23" s="469"/>
      <c r="J23" s="470"/>
      <c r="K23" s="503"/>
      <c r="L23" s="469"/>
      <c r="M23" s="470"/>
      <c r="N23" s="503"/>
      <c r="O23" s="496"/>
      <c r="P23" s="496"/>
      <c r="Q23" s="496"/>
      <c r="R23" s="496"/>
      <c r="S23" s="496"/>
      <c r="T23" s="496"/>
      <c r="U23" s="503"/>
      <c r="V23" s="548">
        <v>96622700</v>
      </c>
      <c r="W23" s="548">
        <v>96622700</v>
      </c>
      <c r="X23" s="548">
        <v>96622700</v>
      </c>
      <c r="Y23" s="646"/>
      <c r="Z23" s="497"/>
      <c r="AA23" s="498"/>
    </row>
    <row r="24" spans="2:30" ht="110.25" x14ac:dyDescent="0.25">
      <c r="B24" s="9" t="s">
        <v>166</v>
      </c>
      <c r="C24" s="10">
        <v>1</v>
      </c>
      <c r="D24" s="10">
        <v>6</v>
      </c>
      <c r="E24" s="10">
        <v>1</v>
      </c>
      <c r="F24" s="10" t="s">
        <v>152</v>
      </c>
      <c r="G24" s="10">
        <v>4</v>
      </c>
      <c r="H24" s="9" t="s">
        <v>37</v>
      </c>
      <c r="I24" s="9" t="s">
        <v>34</v>
      </c>
      <c r="J24" s="26" t="s">
        <v>369</v>
      </c>
      <c r="K24" s="479" t="s">
        <v>267</v>
      </c>
      <c r="L24" s="9" t="s">
        <v>34</v>
      </c>
      <c r="M24" s="26" t="s">
        <v>369</v>
      </c>
      <c r="N24" s="479" t="s">
        <v>267</v>
      </c>
      <c r="O24" s="528">
        <v>1</v>
      </c>
      <c r="P24" s="528">
        <v>0.25</v>
      </c>
      <c r="Q24" s="27" t="s">
        <v>146</v>
      </c>
      <c r="R24" s="528">
        <v>1</v>
      </c>
      <c r="S24" s="528">
        <v>0.25</v>
      </c>
      <c r="T24" s="27" t="s">
        <v>146</v>
      </c>
      <c r="U24" s="28" t="s">
        <v>382</v>
      </c>
      <c r="V24" s="547">
        <f>V25</f>
        <v>127501000</v>
      </c>
      <c r="W24" s="547">
        <f t="shared" ref="W24:X24" si="7">W25</f>
        <v>121613500</v>
      </c>
      <c r="X24" s="547">
        <f t="shared" si="7"/>
        <v>121613500</v>
      </c>
      <c r="Y24" s="646"/>
      <c r="Z24" s="12"/>
      <c r="AA24" s="18" t="s">
        <v>167</v>
      </c>
      <c r="AD24" s="17" t="e">
        <f>VLOOKUP(AA24&amp;H24,#REF!,9,FALSE)</f>
        <v>#REF!</v>
      </c>
    </row>
    <row r="25" spans="2:30" s="490" customFormat="1" x14ac:dyDescent="0.25">
      <c r="B25" s="469"/>
      <c r="C25" s="491"/>
      <c r="D25" s="491"/>
      <c r="E25" s="491"/>
      <c r="F25" s="491"/>
      <c r="G25" s="491"/>
      <c r="H25" s="469" t="s">
        <v>37</v>
      </c>
      <c r="I25" s="469"/>
      <c r="J25" s="470"/>
      <c r="K25" s="505"/>
      <c r="L25" s="469"/>
      <c r="M25" s="470"/>
      <c r="N25" s="505"/>
      <c r="O25" s="496"/>
      <c r="P25" s="496"/>
      <c r="Q25" s="496"/>
      <c r="R25" s="496"/>
      <c r="S25" s="496"/>
      <c r="T25" s="496"/>
      <c r="U25" s="503"/>
      <c r="V25" s="548">
        <v>127501000</v>
      </c>
      <c r="W25" s="548">
        <v>121613500</v>
      </c>
      <c r="X25" s="548">
        <v>121613500</v>
      </c>
      <c r="Y25" s="646"/>
      <c r="Z25" s="497"/>
      <c r="AA25" s="498"/>
    </row>
    <row r="26" spans="2:30" ht="87.75" customHeight="1" x14ac:dyDescent="0.25">
      <c r="B26" s="9" t="s">
        <v>166</v>
      </c>
      <c r="C26" s="10" t="s">
        <v>139</v>
      </c>
      <c r="D26" s="10" t="s">
        <v>154</v>
      </c>
      <c r="E26" s="10" t="s">
        <v>140</v>
      </c>
      <c r="F26" s="10" t="s">
        <v>152</v>
      </c>
      <c r="G26" s="10" t="s">
        <v>153</v>
      </c>
      <c r="H26" s="9" t="s">
        <v>38</v>
      </c>
      <c r="I26" s="9" t="s">
        <v>34</v>
      </c>
      <c r="J26" s="26" t="s">
        <v>369</v>
      </c>
      <c r="K26" s="479" t="s">
        <v>269</v>
      </c>
      <c r="L26" s="9" t="s">
        <v>34</v>
      </c>
      <c r="M26" s="26" t="s">
        <v>369</v>
      </c>
      <c r="N26" s="479" t="s">
        <v>269</v>
      </c>
      <c r="O26" s="528">
        <v>1</v>
      </c>
      <c r="P26" s="528">
        <v>0.25</v>
      </c>
      <c r="Q26" s="27" t="s">
        <v>146</v>
      </c>
      <c r="R26" s="528">
        <v>1</v>
      </c>
      <c r="S26" s="528">
        <v>0.25</v>
      </c>
      <c r="T26" s="27" t="s">
        <v>146</v>
      </c>
      <c r="U26" s="28" t="s">
        <v>382</v>
      </c>
      <c r="V26" s="547">
        <f>V27</f>
        <v>35000000</v>
      </c>
      <c r="W26" s="547">
        <f t="shared" ref="W26:X26" si="8">W27</f>
        <v>35000000</v>
      </c>
      <c r="X26" s="547">
        <f t="shared" si="8"/>
        <v>35000000</v>
      </c>
      <c r="Y26" s="646"/>
      <c r="Z26" s="12"/>
      <c r="AA26" s="18" t="s">
        <v>167</v>
      </c>
      <c r="AD26" s="17" t="e">
        <f>VLOOKUP(AA26&amp;H26,#REF!,9,FALSE)</f>
        <v>#REF!</v>
      </c>
    </row>
    <row r="27" spans="2:30" s="490" customFormat="1" ht="39" customHeight="1" x14ac:dyDescent="0.25">
      <c r="B27" s="469"/>
      <c r="C27" s="491"/>
      <c r="D27" s="491"/>
      <c r="E27" s="491"/>
      <c r="F27" s="491"/>
      <c r="G27" s="491"/>
      <c r="H27" s="469" t="s">
        <v>38</v>
      </c>
      <c r="I27" s="469"/>
      <c r="J27" s="469"/>
      <c r="K27" s="505"/>
      <c r="L27" s="469"/>
      <c r="M27" s="469"/>
      <c r="N27" s="505"/>
      <c r="O27" s="496"/>
      <c r="P27" s="496"/>
      <c r="Q27" s="496"/>
      <c r="R27" s="496"/>
      <c r="S27" s="496"/>
      <c r="T27" s="496"/>
      <c r="U27" s="503"/>
      <c r="V27" s="548">
        <v>35000000</v>
      </c>
      <c r="W27" s="548">
        <v>35000000</v>
      </c>
      <c r="X27" s="548">
        <v>35000000</v>
      </c>
      <c r="Y27" s="646"/>
      <c r="Z27" s="497"/>
      <c r="AA27" s="498"/>
    </row>
    <row r="28" spans="2:30" ht="78.75" x14ac:dyDescent="0.25">
      <c r="B28" s="9" t="s">
        <v>166</v>
      </c>
      <c r="C28" s="10" t="s">
        <v>139</v>
      </c>
      <c r="D28" s="10" t="s">
        <v>154</v>
      </c>
      <c r="E28" s="10" t="s">
        <v>140</v>
      </c>
      <c r="F28" s="10" t="s">
        <v>152</v>
      </c>
      <c r="G28" s="10" t="s">
        <v>150</v>
      </c>
      <c r="H28" s="9" t="s">
        <v>39</v>
      </c>
      <c r="I28" s="9" t="s">
        <v>34</v>
      </c>
      <c r="J28" s="9" t="s">
        <v>369</v>
      </c>
      <c r="K28" s="479" t="s">
        <v>176</v>
      </c>
      <c r="L28" s="9" t="s">
        <v>34</v>
      </c>
      <c r="M28" s="9" t="s">
        <v>369</v>
      </c>
      <c r="N28" s="479" t="s">
        <v>176</v>
      </c>
      <c r="O28" s="528">
        <v>1</v>
      </c>
      <c r="P28" s="528">
        <v>0.25</v>
      </c>
      <c r="Q28" s="27" t="s">
        <v>146</v>
      </c>
      <c r="R28" s="528">
        <v>1</v>
      </c>
      <c r="S28" s="528">
        <v>0.25</v>
      </c>
      <c r="T28" s="27" t="s">
        <v>146</v>
      </c>
      <c r="U28" s="28" t="s">
        <v>382</v>
      </c>
      <c r="V28" s="547">
        <f>V29</f>
        <v>637500000</v>
      </c>
      <c r="W28" s="547">
        <f t="shared" ref="W28:X28" si="9">W29</f>
        <v>410000000</v>
      </c>
      <c r="X28" s="547">
        <f t="shared" si="9"/>
        <v>480000000</v>
      </c>
      <c r="Y28" s="646">
        <f t="shared" si="4"/>
        <v>70000000</v>
      </c>
      <c r="Z28" s="12"/>
      <c r="AA28" s="18" t="s">
        <v>167</v>
      </c>
      <c r="AD28" s="17" t="e">
        <f>VLOOKUP(AA28&amp;H28,#REF!,9,FALSE)</f>
        <v>#REF!</v>
      </c>
    </row>
    <row r="29" spans="2:30" s="490" customFormat="1" ht="40.5" customHeight="1" x14ac:dyDescent="0.25">
      <c r="B29" s="469"/>
      <c r="C29" s="491"/>
      <c r="D29" s="491"/>
      <c r="E29" s="491"/>
      <c r="F29" s="491"/>
      <c r="G29" s="491"/>
      <c r="H29" s="469" t="s">
        <v>39</v>
      </c>
      <c r="I29" s="469"/>
      <c r="J29" s="470"/>
      <c r="K29" s="493"/>
      <c r="L29" s="469"/>
      <c r="M29" s="470"/>
      <c r="N29" s="493"/>
      <c r="O29" s="496"/>
      <c r="P29" s="496"/>
      <c r="Q29" s="496"/>
      <c r="R29" s="496"/>
      <c r="S29" s="496"/>
      <c r="T29" s="496"/>
      <c r="U29" s="503"/>
      <c r="V29" s="548">
        <v>637500000</v>
      </c>
      <c r="W29" s="548">
        <v>410000000</v>
      </c>
      <c r="X29" s="548">
        <v>480000000</v>
      </c>
      <c r="Y29" s="647">
        <f t="shared" si="4"/>
        <v>70000000</v>
      </c>
      <c r="Z29" s="497"/>
      <c r="AA29" s="498"/>
    </row>
    <row r="30" spans="2:30" ht="31.5" x14ac:dyDescent="0.25">
      <c r="B30" s="5" t="s">
        <v>166</v>
      </c>
      <c r="C30" s="569" t="s">
        <v>139</v>
      </c>
      <c r="D30" s="569" t="s">
        <v>154</v>
      </c>
      <c r="E30" s="569" t="s">
        <v>140</v>
      </c>
      <c r="F30" s="569" t="s">
        <v>155</v>
      </c>
      <c r="G30" s="569"/>
      <c r="H30" s="587" t="s">
        <v>40</v>
      </c>
      <c r="I30" s="588"/>
      <c r="J30" s="589"/>
      <c r="K30" s="589"/>
      <c r="L30" s="588"/>
      <c r="M30" s="589"/>
      <c r="N30" s="589"/>
      <c r="O30" s="590"/>
      <c r="P30" s="590"/>
      <c r="Q30" s="590"/>
      <c r="R30" s="590"/>
      <c r="S30" s="590"/>
      <c r="T30" s="590"/>
      <c r="U30" s="572"/>
      <c r="V30" s="576">
        <f>V31+V33</f>
        <v>615033000</v>
      </c>
      <c r="W30" s="576">
        <f t="shared" ref="W30:X30" si="10">W31+W33</f>
        <v>615033000</v>
      </c>
      <c r="X30" s="576">
        <f t="shared" si="10"/>
        <v>575033000</v>
      </c>
      <c r="Y30" s="645">
        <f t="shared" si="4"/>
        <v>-40000000</v>
      </c>
      <c r="Z30" s="584"/>
      <c r="AA30" s="18" t="s">
        <v>167</v>
      </c>
    </row>
    <row r="31" spans="2:30" ht="78.75" x14ac:dyDescent="0.25">
      <c r="B31" s="9" t="s">
        <v>166</v>
      </c>
      <c r="C31" s="10" t="s">
        <v>139</v>
      </c>
      <c r="D31" s="10" t="s">
        <v>154</v>
      </c>
      <c r="E31" s="10" t="s">
        <v>140</v>
      </c>
      <c r="F31" s="10" t="s">
        <v>155</v>
      </c>
      <c r="G31" s="10" t="s">
        <v>149</v>
      </c>
      <c r="H31" s="9" t="s">
        <v>41</v>
      </c>
      <c r="I31" s="9" t="s">
        <v>34</v>
      </c>
      <c r="J31" s="9" t="s">
        <v>369</v>
      </c>
      <c r="K31" s="479" t="s">
        <v>273</v>
      </c>
      <c r="L31" s="9" t="s">
        <v>34</v>
      </c>
      <c r="M31" s="9" t="s">
        <v>369</v>
      </c>
      <c r="N31" s="479" t="s">
        <v>273</v>
      </c>
      <c r="O31" s="528">
        <v>1</v>
      </c>
      <c r="P31" s="528">
        <v>0.5</v>
      </c>
      <c r="Q31" s="27" t="s">
        <v>146</v>
      </c>
      <c r="R31" s="528">
        <v>1</v>
      </c>
      <c r="S31" s="528">
        <v>0.5</v>
      </c>
      <c r="T31" s="27" t="s">
        <v>146</v>
      </c>
      <c r="U31" s="28" t="s">
        <v>382</v>
      </c>
      <c r="V31" s="547">
        <f>V32</f>
        <v>150393000</v>
      </c>
      <c r="W31" s="547">
        <f t="shared" ref="W31:X31" si="11">W32</f>
        <v>150393000</v>
      </c>
      <c r="X31" s="547">
        <f t="shared" si="11"/>
        <v>110393000</v>
      </c>
      <c r="Y31" s="646">
        <f t="shared" si="4"/>
        <v>-40000000</v>
      </c>
      <c r="Z31" s="12"/>
      <c r="AA31" s="18" t="s">
        <v>167</v>
      </c>
      <c r="AD31" s="17" t="e">
        <f>VLOOKUP(AA31&amp;H31,#REF!,9,FALSE)</f>
        <v>#REF!</v>
      </c>
    </row>
    <row r="32" spans="2:30" s="490" customFormat="1" ht="31.5" x14ac:dyDescent="0.25">
      <c r="B32" s="469"/>
      <c r="C32" s="491"/>
      <c r="D32" s="491"/>
      <c r="E32" s="491"/>
      <c r="F32" s="491"/>
      <c r="G32" s="491"/>
      <c r="H32" s="469" t="s">
        <v>41</v>
      </c>
      <c r="I32" s="469"/>
      <c r="J32" s="469"/>
      <c r="K32" s="505"/>
      <c r="L32" s="469"/>
      <c r="M32" s="469"/>
      <c r="N32" s="505"/>
      <c r="O32" s="496"/>
      <c r="P32" s="496"/>
      <c r="Q32" s="496"/>
      <c r="R32" s="496"/>
      <c r="S32" s="496"/>
      <c r="T32" s="496"/>
      <c r="U32" s="503"/>
      <c r="V32" s="548">
        <v>150393000</v>
      </c>
      <c r="W32" s="548">
        <v>150393000</v>
      </c>
      <c r="X32" s="548">
        <v>110393000</v>
      </c>
      <c r="Y32" s="647">
        <f t="shared" si="4"/>
        <v>-40000000</v>
      </c>
      <c r="Z32" s="497"/>
      <c r="AA32" s="498"/>
    </row>
    <row r="33" spans="1:30" ht="78.75" x14ac:dyDescent="0.25">
      <c r="B33" s="9" t="s">
        <v>166</v>
      </c>
      <c r="C33" s="10" t="s">
        <v>139</v>
      </c>
      <c r="D33" s="10" t="s">
        <v>154</v>
      </c>
      <c r="E33" s="10" t="s">
        <v>140</v>
      </c>
      <c r="F33" s="10" t="s">
        <v>155</v>
      </c>
      <c r="G33" s="10" t="s">
        <v>157</v>
      </c>
      <c r="H33" s="9" t="s">
        <v>42</v>
      </c>
      <c r="I33" s="9" t="s">
        <v>34</v>
      </c>
      <c r="J33" s="9" t="s">
        <v>369</v>
      </c>
      <c r="K33" s="479" t="s">
        <v>43</v>
      </c>
      <c r="L33" s="9" t="s">
        <v>34</v>
      </c>
      <c r="M33" s="9" t="s">
        <v>369</v>
      </c>
      <c r="N33" s="479" t="s">
        <v>43</v>
      </c>
      <c r="O33" s="528">
        <v>1</v>
      </c>
      <c r="P33" s="528">
        <v>0.5</v>
      </c>
      <c r="Q33" s="27" t="s">
        <v>146</v>
      </c>
      <c r="R33" s="528">
        <v>1</v>
      </c>
      <c r="S33" s="528">
        <v>0.5</v>
      </c>
      <c r="T33" s="27" t="s">
        <v>146</v>
      </c>
      <c r="U33" s="28" t="s">
        <v>382</v>
      </c>
      <c r="V33" s="547">
        <f>V34</f>
        <v>464640000</v>
      </c>
      <c r="W33" s="547">
        <f t="shared" ref="W33:X33" si="12">W34</f>
        <v>464640000</v>
      </c>
      <c r="X33" s="547">
        <f t="shared" si="12"/>
        <v>464640000</v>
      </c>
      <c r="Y33" s="646"/>
      <c r="Z33" s="12"/>
      <c r="AA33" s="18" t="s">
        <v>167</v>
      </c>
      <c r="AD33" s="17" t="e">
        <f>VLOOKUP(AA33&amp;H33,#REF!,9,FALSE)</f>
        <v>#REF!</v>
      </c>
    </row>
    <row r="34" spans="1:30" s="490" customFormat="1" ht="31.5" x14ac:dyDescent="0.25">
      <c r="B34" s="469"/>
      <c r="C34" s="491"/>
      <c r="D34" s="491"/>
      <c r="E34" s="491"/>
      <c r="F34" s="491"/>
      <c r="G34" s="491"/>
      <c r="H34" s="469" t="s">
        <v>42</v>
      </c>
      <c r="I34" s="469"/>
      <c r="J34" s="470"/>
      <c r="K34" s="493"/>
      <c r="L34" s="469"/>
      <c r="M34" s="470"/>
      <c r="N34" s="493"/>
      <c r="O34" s="496"/>
      <c r="P34" s="496"/>
      <c r="Q34" s="506"/>
      <c r="R34" s="496"/>
      <c r="S34" s="496"/>
      <c r="T34" s="506"/>
      <c r="U34" s="503"/>
      <c r="V34" s="548">
        <v>464640000</v>
      </c>
      <c r="W34" s="548">
        <v>464640000</v>
      </c>
      <c r="X34" s="548">
        <v>464640000</v>
      </c>
      <c r="Y34" s="646"/>
      <c r="Z34" s="497"/>
      <c r="AA34" s="498"/>
    </row>
    <row r="35" spans="1:30" ht="31.5" x14ac:dyDescent="0.25">
      <c r="B35" s="5" t="s">
        <v>166</v>
      </c>
      <c r="C35" s="569" t="s">
        <v>139</v>
      </c>
      <c r="D35" s="569" t="s">
        <v>154</v>
      </c>
      <c r="E35" s="569" t="s">
        <v>140</v>
      </c>
      <c r="F35" s="569" t="s">
        <v>158</v>
      </c>
      <c r="G35" s="569"/>
      <c r="H35" s="587" t="s">
        <v>52</v>
      </c>
      <c r="I35" s="588"/>
      <c r="J35" s="589"/>
      <c r="K35" s="589"/>
      <c r="L35" s="588"/>
      <c r="M35" s="589"/>
      <c r="N35" s="589"/>
      <c r="O35" s="590"/>
      <c r="P35" s="590"/>
      <c r="Q35" s="590"/>
      <c r="R35" s="590"/>
      <c r="S35" s="590"/>
      <c r="T35" s="590"/>
      <c r="U35" s="572"/>
      <c r="V35" s="576">
        <f>V36+V38+V40</f>
        <v>448606220</v>
      </c>
      <c r="W35" s="576">
        <f t="shared" ref="W35:X35" si="13">W36+W38+W40</f>
        <v>349133000</v>
      </c>
      <c r="X35" s="576">
        <f t="shared" si="13"/>
        <v>390733000</v>
      </c>
      <c r="Y35" s="645">
        <f t="shared" si="4"/>
        <v>41600000</v>
      </c>
      <c r="Z35" s="584"/>
      <c r="AA35" s="18" t="s">
        <v>167</v>
      </c>
    </row>
    <row r="36" spans="1:30" ht="99.75" customHeight="1" x14ac:dyDescent="0.25">
      <c r="B36" s="9" t="s">
        <v>166</v>
      </c>
      <c r="C36" s="10" t="s">
        <v>139</v>
      </c>
      <c r="D36" s="10" t="s">
        <v>154</v>
      </c>
      <c r="E36" s="10" t="s">
        <v>140</v>
      </c>
      <c r="F36" s="10" t="s">
        <v>158</v>
      </c>
      <c r="G36" s="10" t="s">
        <v>140</v>
      </c>
      <c r="H36" s="9" t="s">
        <v>53</v>
      </c>
      <c r="I36" s="9" t="s">
        <v>370</v>
      </c>
      <c r="J36" s="9" t="s">
        <v>371</v>
      </c>
      <c r="K36" s="479" t="s">
        <v>284</v>
      </c>
      <c r="L36" s="9" t="s">
        <v>370</v>
      </c>
      <c r="M36" s="9" t="s">
        <v>371</v>
      </c>
      <c r="N36" s="479" t="s">
        <v>284</v>
      </c>
      <c r="O36" s="529">
        <v>1</v>
      </c>
      <c r="P36" s="539">
        <v>0.33329999999999999</v>
      </c>
      <c r="Q36" s="14" t="s">
        <v>379</v>
      </c>
      <c r="R36" s="529">
        <v>1</v>
      </c>
      <c r="S36" s="539">
        <v>0.33329999999999999</v>
      </c>
      <c r="T36" s="14" t="s">
        <v>182</v>
      </c>
      <c r="U36" s="28" t="s">
        <v>382</v>
      </c>
      <c r="V36" s="547">
        <f>V37</f>
        <v>199340220</v>
      </c>
      <c r="W36" s="547">
        <f t="shared" ref="W36:X36" si="14">W37</f>
        <v>149510000</v>
      </c>
      <c r="X36" s="547">
        <f t="shared" si="14"/>
        <v>184510000</v>
      </c>
      <c r="Y36" s="646">
        <f t="shared" si="4"/>
        <v>35000000</v>
      </c>
      <c r="Z36" s="12"/>
      <c r="AA36" s="18" t="s">
        <v>167</v>
      </c>
      <c r="AD36" s="17" t="e">
        <f>VLOOKUP(AA36&amp;H36,#REF!,9,FALSE)</f>
        <v>#REF!</v>
      </c>
    </row>
    <row r="37" spans="1:30" s="490" customFormat="1" ht="69" customHeight="1" x14ac:dyDescent="0.25">
      <c r="B37" s="469"/>
      <c r="C37" s="491"/>
      <c r="D37" s="491"/>
      <c r="E37" s="491"/>
      <c r="F37" s="491"/>
      <c r="G37" s="491"/>
      <c r="H37" s="469" t="s">
        <v>53</v>
      </c>
      <c r="I37" s="469"/>
      <c r="J37" s="469"/>
      <c r="K37" s="505"/>
      <c r="L37" s="469"/>
      <c r="M37" s="469"/>
      <c r="N37" s="505"/>
      <c r="O37" s="496"/>
      <c r="P37" s="496"/>
      <c r="Q37" s="496"/>
      <c r="R37" s="496"/>
      <c r="S37" s="496"/>
      <c r="T37" s="496"/>
      <c r="U37" s="503"/>
      <c r="V37" s="548">
        <v>199340220</v>
      </c>
      <c r="W37" s="548">
        <v>149510000</v>
      </c>
      <c r="X37" s="548">
        <v>184510000</v>
      </c>
      <c r="Y37" s="646">
        <f t="shared" si="4"/>
        <v>35000000</v>
      </c>
      <c r="Z37" s="497"/>
      <c r="AA37" s="498"/>
    </row>
    <row r="38" spans="1:30" ht="104.25" customHeight="1" x14ac:dyDescent="0.25">
      <c r="B38" s="9" t="s">
        <v>166</v>
      </c>
      <c r="C38" s="10" t="s">
        <v>139</v>
      </c>
      <c r="D38" s="10" t="s">
        <v>154</v>
      </c>
      <c r="E38" s="10" t="s">
        <v>140</v>
      </c>
      <c r="F38" s="10" t="s">
        <v>158</v>
      </c>
      <c r="G38" s="10" t="s">
        <v>150</v>
      </c>
      <c r="H38" s="9" t="s">
        <v>54</v>
      </c>
      <c r="I38" s="9" t="s">
        <v>370</v>
      </c>
      <c r="J38" s="9" t="s">
        <v>371</v>
      </c>
      <c r="K38" s="479" t="s">
        <v>286</v>
      </c>
      <c r="L38" s="9" t="s">
        <v>370</v>
      </c>
      <c r="M38" s="9" t="s">
        <v>371</v>
      </c>
      <c r="N38" s="479" t="s">
        <v>286</v>
      </c>
      <c r="O38" s="529">
        <v>1</v>
      </c>
      <c r="P38" s="539">
        <v>0.33329999999999999</v>
      </c>
      <c r="Q38" s="14" t="s">
        <v>380</v>
      </c>
      <c r="R38" s="529">
        <v>1</v>
      </c>
      <c r="S38" s="539">
        <v>0.33329999999999999</v>
      </c>
      <c r="T38" s="14" t="s">
        <v>159</v>
      </c>
      <c r="U38" s="28" t="s">
        <v>382</v>
      </c>
      <c r="V38" s="547">
        <f>V39</f>
        <v>198570000</v>
      </c>
      <c r="W38" s="547">
        <f t="shared" ref="W38:X38" si="15">W39</f>
        <v>148927000</v>
      </c>
      <c r="X38" s="547">
        <f t="shared" si="15"/>
        <v>148927000</v>
      </c>
      <c r="Y38" s="646"/>
      <c r="Z38" s="12"/>
      <c r="AA38" s="18" t="s">
        <v>167</v>
      </c>
      <c r="AD38" s="17" t="e">
        <f>VLOOKUP(AA38&amp;H38,#REF!,9,FALSE)</f>
        <v>#REF!</v>
      </c>
    </row>
    <row r="39" spans="1:30" s="490" customFormat="1" ht="41.25" customHeight="1" x14ac:dyDescent="0.25">
      <c r="B39" s="469"/>
      <c r="C39" s="491"/>
      <c r="D39" s="491"/>
      <c r="E39" s="491"/>
      <c r="F39" s="491"/>
      <c r="G39" s="491"/>
      <c r="H39" s="469" t="s">
        <v>54</v>
      </c>
      <c r="I39" s="469"/>
      <c r="J39" s="469"/>
      <c r="K39" s="505"/>
      <c r="L39" s="469"/>
      <c r="M39" s="469"/>
      <c r="N39" s="505"/>
      <c r="O39" s="496"/>
      <c r="P39" s="496"/>
      <c r="Q39" s="496"/>
      <c r="R39" s="496"/>
      <c r="S39" s="496"/>
      <c r="T39" s="506"/>
      <c r="U39" s="503"/>
      <c r="V39" s="548">
        <v>198570000</v>
      </c>
      <c r="W39" s="548">
        <v>148927000</v>
      </c>
      <c r="X39" s="548">
        <v>148927000</v>
      </c>
      <c r="Y39" s="646"/>
      <c r="Z39" s="497"/>
      <c r="AA39" s="498"/>
    </row>
    <row r="40" spans="1:30" ht="104.25" customHeight="1" x14ac:dyDescent="0.25">
      <c r="B40" s="9" t="s">
        <v>166</v>
      </c>
      <c r="C40" s="10" t="s">
        <v>139</v>
      </c>
      <c r="D40" s="10" t="s">
        <v>154</v>
      </c>
      <c r="E40" s="10" t="s">
        <v>140</v>
      </c>
      <c r="F40" s="10" t="s">
        <v>158</v>
      </c>
      <c r="G40" s="10" t="s">
        <v>151</v>
      </c>
      <c r="H40" s="9" t="s">
        <v>55</v>
      </c>
      <c r="I40" s="9" t="s">
        <v>370</v>
      </c>
      <c r="J40" s="9" t="s">
        <v>371</v>
      </c>
      <c r="K40" s="479" t="s">
        <v>289</v>
      </c>
      <c r="L40" s="9" t="s">
        <v>370</v>
      </c>
      <c r="M40" s="9" t="s">
        <v>371</v>
      </c>
      <c r="N40" s="479" t="s">
        <v>289</v>
      </c>
      <c r="O40" s="529">
        <v>1</v>
      </c>
      <c r="P40" s="539">
        <v>0.33329999999999999</v>
      </c>
      <c r="Q40" s="14" t="s">
        <v>381</v>
      </c>
      <c r="R40" s="529">
        <v>1</v>
      </c>
      <c r="S40" s="539">
        <v>0.33329999999999999</v>
      </c>
      <c r="T40" s="14" t="s">
        <v>381</v>
      </c>
      <c r="U40" s="28" t="s">
        <v>382</v>
      </c>
      <c r="V40" s="547">
        <f>V41</f>
        <v>50696000</v>
      </c>
      <c r="W40" s="547">
        <f t="shared" ref="W40:X40" si="16">W41</f>
        <v>50696000</v>
      </c>
      <c r="X40" s="547">
        <f t="shared" si="16"/>
        <v>57296000</v>
      </c>
      <c r="Y40" s="646">
        <f t="shared" si="4"/>
        <v>6600000</v>
      </c>
      <c r="Z40" s="12"/>
      <c r="AA40" s="18" t="s">
        <v>167</v>
      </c>
      <c r="AD40" s="17" t="e">
        <f>VLOOKUP(AA40&amp;H40,#REF!,9,FALSE)</f>
        <v>#REF!</v>
      </c>
    </row>
    <row r="41" spans="1:30" s="490" customFormat="1" ht="56.25" customHeight="1" x14ac:dyDescent="0.25">
      <c r="B41" s="469"/>
      <c r="C41" s="491"/>
      <c r="D41" s="491"/>
      <c r="E41" s="491"/>
      <c r="F41" s="491"/>
      <c r="G41" s="491"/>
      <c r="H41" s="469" t="s">
        <v>55</v>
      </c>
      <c r="I41" s="507"/>
      <c r="J41" s="508"/>
      <c r="K41" s="493"/>
      <c r="L41" s="507"/>
      <c r="M41" s="508"/>
      <c r="N41" s="493"/>
      <c r="O41" s="496"/>
      <c r="P41" s="496"/>
      <c r="Q41" s="506"/>
      <c r="R41" s="496"/>
      <c r="S41" s="496"/>
      <c r="T41" s="506"/>
      <c r="U41" s="503"/>
      <c r="V41" s="548">
        <v>50696000</v>
      </c>
      <c r="W41" s="548">
        <v>50696000</v>
      </c>
      <c r="X41" s="548">
        <v>57296000</v>
      </c>
      <c r="Y41" s="646">
        <f t="shared" si="4"/>
        <v>6600000</v>
      </c>
      <c r="Z41" s="497"/>
      <c r="AA41" s="498"/>
    </row>
    <row r="42" spans="1:30" ht="35.1" customHeight="1" x14ac:dyDescent="0.25">
      <c r="A42" s="17" t="str">
        <f>AA42</f>
        <v>Dinas Sosial</v>
      </c>
      <c r="B42" s="5" t="s">
        <v>166</v>
      </c>
      <c r="C42" s="551">
        <v>1</v>
      </c>
      <c r="D42" s="551">
        <v>6</v>
      </c>
      <c r="E42" s="551">
        <v>2</v>
      </c>
      <c r="F42" s="551"/>
      <c r="G42" s="551"/>
      <c r="H42" s="552" t="s">
        <v>56</v>
      </c>
      <c r="I42" s="561"/>
      <c r="J42" s="562"/>
      <c r="K42" s="561"/>
      <c r="L42" s="561"/>
      <c r="M42" s="562"/>
      <c r="N42" s="561"/>
      <c r="O42" s="563"/>
      <c r="P42" s="557"/>
      <c r="Q42" s="563"/>
      <c r="R42" s="563"/>
      <c r="S42" s="557"/>
      <c r="T42" s="563"/>
      <c r="U42" s="558"/>
      <c r="V42" s="559">
        <f>V43</f>
        <v>1305962000</v>
      </c>
      <c r="W42" s="559">
        <f t="shared" ref="W42:X42" si="17">W43</f>
        <v>1300037000</v>
      </c>
      <c r="X42" s="559">
        <f t="shared" si="17"/>
        <v>1547808400</v>
      </c>
      <c r="Y42" s="644">
        <f t="shared" si="4"/>
        <v>247771400</v>
      </c>
      <c r="Z42" s="564"/>
      <c r="AA42" s="18" t="s">
        <v>167</v>
      </c>
    </row>
    <row r="43" spans="1:30" ht="31.5" x14ac:dyDescent="0.25">
      <c r="B43" s="5" t="s">
        <v>166</v>
      </c>
      <c r="C43" s="569" t="s">
        <v>139</v>
      </c>
      <c r="D43" s="569" t="s">
        <v>154</v>
      </c>
      <c r="E43" s="569" t="s">
        <v>149</v>
      </c>
      <c r="F43" s="569" t="s">
        <v>161</v>
      </c>
      <c r="G43" s="569"/>
      <c r="H43" s="571" t="s">
        <v>61</v>
      </c>
      <c r="I43" s="572"/>
      <c r="J43" s="585"/>
      <c r="K43" s="572"/>
      <c r="L43" s="572"/>
      <c r="M43" s="585"/>
      <c r="N43" s="572"/>
      <c r="O43" s="574"/>
      <c r="P43" s="586"/>
      <c r="Q43" s="586"/>
      <c r="R43" s="574"/>
      <c r="S43" s="586"/>
      <c r="T43" s="586"/>
      <c r="U43" s="572"/>
      <c r="V43" s="576">
        <f>V44+V46+V48+V52+V61</f>
        <v>1305962000</v>
      </c>
      <c r="W43" s="576">
        <f>W44+W46+W48+W52+W61</f>
        <v>1300037000</v>
      </c>
      <c r="X43" s="576">
        <f>X44+X46+X48+X52+X61</f>
        <v>1547808400</v>
      </c>
      <c r="Y43" s="645">
        <f t="shared" si="4"/>
        <v>247771400</v>
      </c>
      <c r="Z43" s="577"/>
      <c r="AA43" s="18" t="s">
        <v>167</v>
      </c>
    </row>
    <row r="44" spans="1:30" ht="117.75" customHeight="1" x14ac:dyDescent="0.25">
      <c r="B44" s="9" t="s">
        <v>166</v>
      </c>
      <c r="C44" s="10" t="s">
        <v>139</v>
      </c>
      <c r="D44" s="10" t="s">
        <v>154</v>
      </c>
      <c r="E44" s="10" t="s">
        <v>149</v>
      </c>
      <c r="F44" s="10" t="s">
        <v>161</v>
      </c>
      <c r="G44" s="10" t="s">
        <v>140</v>
      </c>
      <c r="H44" s="26" t="s">
        <v>62</v>
      </c>
      <c r="I44" s="28" t="s">
        <v>57</v>
      </c>
      <c r="J44" s="28" t="s">
        <v>372</v>
      </c>
      <c r="K44" s="479" t="s">
        <v>63</v>
      </c>
      <c r="L44" s="28" t="s">
        <v>57</v>
      </c>
      <c r="M44" s="28" t="s">
        <v>372</v>
      </c>
      <c r="N44" s="479" t="s">
        <v>63</v>
      </c>
      <c r="O44" s="529">
        <v>1</v>
      </c>
      <c r="P44" s="529">
        <v>0.2</v>
      </c>
      <c r="Q44" s="14" t="s">
        <v>178</v>
      </c>
      <c r="R44" s="529">
        <v>1</v>
      </c>
      <c r="S44" s="529">
        <v>0.2</v>
      </c>
      <c r="T44" s="14" t="s">
        <v>178</v>
      </c>
      <c r="U44" s="28" t="s">
        <v>383</v>
      </c>
      <c r="V44" s="547">
        <f>V45</f>
        <v>30000000</v>
      </c>
      <c r="W44" s="547">
        <f t="shared" ref="W44:X44" si="18">W45</f>
        <v>30000000</v>
      </c>
      <c r="X44" s="547">
        <f t="shared" si="18"/>
        <v>30000000</v>
      </c>
      <c r="Y44" s="646"/>
      <c r="Z44" s="12"/>
      <c r="AA44" s="18" t="s">
        <v>167</v>
      </c>
      <c r="AD44" s="17" t="e">
        <f>VLOOKUP(AA44&amp;H44,#REF!,9,FALSE)</f>
        <v>#REF!</v>
      </c>
    </row>
    <row r="45" spans="1:30" s="490" customFormat="1" ht="52.5" customHeight="1" x14ac:dyDescent="0.25">
      <c r="B45" s="469"/>
      <c r="C45" s="491"/>
      <c r="D45" s="491"/>
      <c r="E45" s="491"/>
      <c r="F45" s="491"/>
      <c r="G45" s="491"/>
      <c r="H45" s="470" t="s">
        <v>62</v>
      </c>
      <c r="I45" s="509"/>
      <c r="J45" s="509"/>
      <c r="K45" s="505"/>
      <c r="L45" s="509"/>
      <c r="M45" s="509"/>
      <c r="N45" s="505"/>
      <c r="O45" s="510"/>
      <c r="P45" s="510"/>
      <c r="Q45" s="510"/>
      <c r="R45" s="510"/>
      <c r="S45" s="510"/>
      <c r="T45" s="510"/>
      <c r="U45" s="509"/>
      <c r="V45" s="548">
        <v>30000000</v>
      </c>
      <c r="W45" s="548">
        <v>30000000</v>
      </c>
      <c r="X45" s="548">
        <v>30000000</v>
      </c>
      <c r="Y45" s="646"/>
      <c r="Z45" s="497"/>
      <c r="AA45" s="498"/>
    </row>
    <row r="46" spans="1:30" ht="116.25" customHeight="1" x14ac:dyDescent="0.25">
      <c r="B46" s="9" t="s">
        <v>166</v>
      </c>
      <c r="C46" s="10" t="s">
        <v>139</v>
      </c>
      <c r="D46" s="10" t="s">
        <v>154</v>
      </c>
      <c r="E46" s="10" t="s">
        <v>149</v>
      </c>
      <c r="F46" s="10" t="s">
        <v>161</v>
      </c>
      <c r="G46" s="10" t="s">
        <v>149</v>
      </c>
      <c r="H46" s="26" t="s">
        <v>65</v>
      </c>
      <c r="I46" s="28" t="s">
        <v>57</v>
      </c>
      <c r="J46" s="28" t="s">
        <v>372</v>
      </c>
      <c r="K46" s="479" t="s">
        <v>66</v>
      </c>
      <c r="L46" s="28" t="s">
        <v>57</v>
      </c>
      <c r="M46" s="28" t="s">
        <v>372</v>
      </c>
      <c r="N46" s="479" t="s">
        <v>66</v>
      </c>
      <c r="O46" s="538">
        <v>1</v>
      </c>
      <c r="P46" s="529">
        <v>0.2</v>
      </c>
      <c r="Q46" s="31" t="s">
        <v>168</v>
      </c>
      <c r="R46" s="538">
        <v>1</v>
      </c>
      <c r="S46" s="529">
        <v>0.2</v>
      </c>
      <c r="T46" s="31" t="s">
        <v>168</v>
      </c>
      <c r="U46" s="28" t="s">
        <v>383</v>
      </c>
      <c r="V46" s="547">
        <f>V47</f>
        <v>406049900</v>
      </c>
      <c r="W46" s="547">
        <f t="shared" ref="W46:X46" si="19">W47</f>
        <v>402224900</v>
      </c>
      <c r="X46" s="547">
        <f t="shared" si="19"/>
        <v>402224900</v>
      </c>
      <c r="Y46" s="646"/>
      <c r="Z46" s="12"/>
      <c r="AA46" s="18" t="s">
        <v>167</v>
      </c>
      <c r="AD46" s="17" t="e">
        <f>VLOOKUP(AA46&amp;H46,#REF!,9,FALSE)</f>
        <v>#REF!</v>
      </c>
    </row>
    <row r="47" spans="1:30" s="490" customFormat="1" ht="60" customHeight="1" x14ac:dyDescent="0.25">
      <c r="B47" s="469"/>
      <c r="C47" s="491"/>
      <c r="D47" s="491"/>
      <c r="E47" s="491"/>
      <c r="F47" s="491"/>
      <c r="G47" s="491"/>
      <c r="H47" s="470" t="s">
        <v>65</v>
      </c>
      <c r="I47" s="509"/>
      <c r="J47" s="509"/>
      <c r="K47" s="505"/>
      <c r="L47" s="509"/>
      <c r="M47" s="509"/>
      <c r="N47" s="505"/>
      <c r="O47" s="510"/>
      <c r="P47" s="510"/>
      <c r="Q47" s="510"/>
      <c r="R47" s="510"/>
      <c r="S47" s="510"/>
      <c r="T47" s="510"/>
      <c r="U47" s="509"/>
      <c r="V47" s="548">
        <v>406049900</v>
      </c>
      <c r="W47" s="548">
        <v>402224900</v>
      </c>
      <c r="X47" s="548">
        <v>402224900</v>
      </c>
      <c r="Y47" s="646"/>
      <c r="Z47" s="497"/>
      <c r="AA47" s="498"/>
    </row>
    <row r="48" spans="1:30" ht="117.75" customHeight="1" x14ac:dyDescent="0.25">
      <c r="B48" s="9" t="s">
        <v>166</v>
      </c>
      <c r="C48" s="10" t="s">
        <v>139</v>
      </c>
      <c r="D48" s="10" t="s">
        <v>154</v>
      </c>
      <c r="E48" s="10" t="s">
        <v>149</v>
      </c>
      <c r="F48" s="10" t="s">
        <v>161</v>
      </c>
      <c r="G48" s="10" t="s">
        <v>156</v>
      </c>
      <c r="H48" s="26" t="s">
        <v>67</v>
      </c>
      <c r="I48" s="28" t="s">
        <v>57</v>
      </c>
      <c r="J48" s="28" t="s">
        <v>372</v>
      </c>
      <c r="K48" s="13" t="s">
        <v>68</v>
      </c>
      <c r="L48" s="28" t="s">
        <v>57</v>
      </c>
      <c r="M48" s="28" t="s">
        <v>372</v>
      </c>
      <c r="N48" s="13" t="s">
        <v>68</v>
      </c>
      <c r="O48" s="529">
        <v>1</v>
      </c>
      <c r="P48" s="529">
        <v>0.2</v>
      </c>
      <c r="Q48" s="14" t="s">
        <v>384</v>
      </c>
      <c r="R48" s="529">
        <v>1</v>
      </c>
      <c r="S48" s="529">
        <v>0.2</v>
      </c>
      <c r="T48" s="14" t="s">
        <v>384</v>
      </c>
      <c r="U48" s="28" t="s">
        <v>383</v>
      </c>
      <c r="V48" s="547">
        <f>V50+V51</f>
        <v>436555000</v>
      </c>
      <c r="W48" s="547">
        <f>W50+W51</f>
        <v>436555000</v>
      </c>
      <c r="X48" s="547">
        <f>X50+X51</f>
        <v>398153500</v>
      </c>
      <c r="Y48" s="646">
        <f t="shared" si="4"/>
        <v>-38401500</v>
      </c>
      <c r="Z48" s="12"/>
      <c r="AA48" s="18" t="s">
        <v>167</v>
      </c>
      <c r="AD48" s="17" t="e">
        <f>VLOOKUP(AA48&amp;H48,#REF!,9,FALSE)</f>
        <v>#REF!</v>
      </c>
    </row>
    <row r="49" spans="1:30" ht="36.75" customHeight="1" x14ac:dyDescent="0.25">
      <c r="B49" s="9"/>
      <c r="C49" s="10"/>
      <c r="D49" s="10"/>
      <c r="E49" s="10"/>
      <c r="F49" s="10"/>
      <c r="G49" s="10"/>
      <c r="H49" s="26"/>
      <c r="I49" s="28"/>
      <c r="J49" s="28"/>
      <c r="K49" s="477" t="s">
        <v>69</v>
      </c>
      <c r="L49" s="28"/>
      <c r="M49" s="28"/>
      <c r="N49" s="477" t="s">
        <v>69</v>
      </c>
      <c r="O49" s="14"/>
      <c r="P49" s="14"/>
      <c r="Q49" s="14" t="s">
        <v>385</v>
      </c>
      <c r="R49" s="14"/>
      <c r="S49" s="14"/>
      <c r="T49" s="14" t="s">
        <v>385</v>
      </c>
      <c r="U49" s="28"/>
      <c r="V49" s="547"/>
      <c r="W49" s="547"/>
      <c r="X49" s="547"/>
      <c r="Y49" s="646"/>
      <c r="Z49" s="12"/>
      <c r="AA49" s="18"/>
    </row>
    <row r="50" spans="1:30" s="490" customFormat="1" ht="53.25" customHeight="1" x14ac:dyDescent="0.25">
      <c r="B50" s="469"/>
      <c r="C50" s="491"/>
      <c r="D50" s="491"/>
      <c r="E50" s="491"/>
      <c r="F50" s="491"/>
      <c r="G50" s="491"/>
      <c r="H50" s="470" t="s">
        <v>67</v>
      </c>
      <c r="I50" s="503"/>
      <c r="J50" s="503"/>
      <c r="K50" s="511"/>
      <c r="L50" s="503"/>
      <c r="M50" s="503"/>
      <c r="N50" s="511"/>
      <c r="O50" s="496"/>
      <c r="P50" s="496"/>
      <c r="Q50" s="496"/>
      <c r="R50" s="496"/>
      <c r="S50" s="496"/>
      <c r="T50" s="496"/>
      <c r="U50" s="503"/>
      <c r="V50" s="548">
        <v>436555000</v>
      </c>
      <c r="W50" s="548">
        <v>436555000</v>
      </c>
      <c r="X50" s="548">
        <f>296555000+101598500</f>
        <v>398153500</v>
      </c>
      <c r="Y50" s="647">
        <f t="shared" ref="Y50:Y110" si="20">X50-W50</f>
        <v>-38401500</v>
      </c>
      <c r="Z50" s="497"/>
      <c r="AA50" s="498"/>
    </row>
    <row r="51" spans="1:30" s="490" customFormat="1" ht="21.75" hidden="1" customHeight="1" x14ac:dyDescent="0.25">
      <c r="B51" s="469"/>
      <c r="C51" s="491"/>
      <c r="D51" s="491"/>
      <c r="E51" s="491"/>
      <c r="F51" s="491"/>
      <c r="G51" s="491"/>
      <c r="H51" s="470" t="s">
        <v>395</v>
      </c>
      <c r="I51" s="503"/>
      <c r="J51" s="503"/>
      <c r="K51" s="511"/>
      <c r="L51" s="503"/>
      <c r="M51" s="503"/>
      <c r="N51" s="543"/>
      <c r="O51" s="496"/>
      <c r="P51" s="496"/>
      <c r="Q51" s="496"/>
      <c r="R51" s="496"/>
      <c r="S51" s="496"/>
      <c r="T51" s="496"/>
      <c r="U51" s="503"/>
      <c r="V51" s="548"/>
      <c r="W51" s="548"/>
      <c r="X51" s="548">
        <v>0</v>
      </c>
      <c r="Y51" s="646">
        <f t="shared" si="20"/>
        <v>0</v>
      </c>
      <c r="Z51" s="497"/>
      <c r="AA51" s="498"/>
    </row>
    <row r="52" spans="1:30" ht="123" customHeight="1" x14ac:dyDescent="0.25">
      <c r="B52" s="9" t="s">
        <v>166</v>
      </c>
      <c r="C52" s="10" t="s">
        <v>139</v>
      </c>
      <c r="D52" s="10" t="s">
        <v>154</v>
      </c>
      <c r="E52" s="10" t="s">
        <v>149</v>
      </c>
      <c r="F52" s="10" t="s">
        <v>161</v>
      </c>
      <c r="G52" s="10" t="s">
        <v>157</v>
      </c>
      <c r="H52" s="26" t="s">
        <v>71</v>
      </c>
      <c r="I52" s="28" t="s">
        <v>57</v>
      </c>
      <c r="J52" s="28" t="s">
        <v>372</v>
      </c>
      <c r="K52" s="479" t="s">
        <v>74</v>
      </c>
      <c r="L52" s="28" t="s">
        <v>57</v>
      </c>
      <c r="M52" s="28" t="s">
        <v>372</v>
      </c>
      <c r="N52" s="481" t="s">
        <v>72</v>
      </c>
      <c r="O52" s="529">
        <v>1</v>
      </c>
      <c r="P52" s="529">
        <v>0.2</v>
      </c>
      <c r="Q52" s="14" t="s">
        <v>178</v>
      </c>
      <c r="R52" s="529">
        <v>1</v>
      </c>
      <c r="S52" s="529">
        <v>0.2</v>
      </c>
      <c r="T52" s="14" t="s">
        <v>178</v>
      </c>
      <c r="U52" s="28" t="s">
        <v>383</v>
      </c>
      <c r="V52" s="547">
        <f>SUM(V53:V60)</f>
        <v>383357100</v>
      </c>
      <c r="W52" s="547">
        <f t="shared" ref="W52:X52" si="21">SUM(W53:W60)</f>
        <v>381257100</v>
      </c>
      <c r="X52" s="547">
        <f t="shared" si="21"/>
        <v>667430000</v>
      </c>
      <c r="Y52" s="646">
        <f t="shared" si="20"/>
        <v>286172900</v>
      </c>
      <c r="Z52" s="12"/>
      <c r="AA52" s="18" t="s">
        <v>167</v>
      </c>
      <c r="AD52" s="17" t="e">
        <f>VLOOKUP(AA52&amp;H52,#REF!,9,FALSE)</f>
        <v>#REF!</v>
      </c>
    </row>
    <row r="53" spans="1:30" ht="55.5" customHeight="1" x14ac:dyDescent="0.25">
      <c r="B53" s="9"/>
      <c r="C53" s="10"/>
      <c r="D53" s="10"/>
      <c r="E53" s="10"/>
      <c r="F53" s="10"/>
      <c r="G53" s="10"/>
      <c r="H53" s="26"/>
      <c r="I53" s="28"/>
      <c r="J53" s="28"/>
      <c r="K53" s="481" t="s">
        <v>72</v>
      </c>
      <c r="L53" s="28"/>
      <c r="M53" s="28"/>
      <c r="N53" s="482"/>
      <c r="O53" s="14"/>
      <c r="P53" s="14"/>
      <c r="Q53" s="14" t="s">
        <v>386</v>
      </c>
      <c r="R53" s="14"/>
      <c r="S53" s="14"/>
      <c r="T53" s="14" t="s">
        <v>386</v>
      </c>
      <c r="U53" s="28"/>
      <c r="V53" s="547"/>
      <c r="W53" s="547"/>
      <c r="X53" s="547"/>
      <c r="Y53" s="646"/>
      <c r="Z53" s="12"/>
      <c r="AA53" s="18"/>
    </row>
    <row r="54" spans="1:30" ht="136.5" customHeight="1" x14ac:dyDescent="0.25">
      <c r="B54" s="9"/>
      <c r="C54" s="10"/>
      <c r="D54" s="10"/>
      <c r="E54" s="10"/>
      <c r="F54" s="10"/>
      <c r="G54" s="10"/>
      <c r="H54" s="26"/>
      <c r="I54" s="28"/>
      <c r="J54" s="28"/>
      <c r="K54" s="482" t="s">
        <v>75</v>
      </c>
      <c r="L54" s="28"/>
      <c r="M54" s="28"/>
      <c r="N54" s="482" t="s">
        <v>75</v>
      </c>
      <c r="O54" s="14"/>
      <c r="P54" s="14"/>
      <c r="Q54" s="14" t="s">
        <v>179</v>
      </c>
      <c r="R54" s="14"/>
      <c r="S54" s="14"/>
      <c r="T54" s="14" t="s">
        <v>179</v>
      </c>
      <c r="U54" s="28"/>
      <c r="V54" s="547"/>
      <c r="W54" s="547"/>
      <c r="X54" s="547"/>
      <c r="Y54" s="646"/>
      <c r="Z54" s="12"/>
      <c r="AA54" s="18"/>
    </row>
    <row r="55" spans="1:30" ht="54.75" customHeight="1" x14ac:dyDescent="0.25">
      <c r="B55" s="9"/>
      <c r="C55" s="10"/>
      <c r="D55" s="10"/>
      <c r="E55" s="10"/>
      <c r="F55" s="10"/>
      <c r="G55" s="10"/>
      <c r="H55" s="26"/>
      <c r="I55" s="28"/>
      <c r="J55" s="28"/>
      <c r="K55" s="477" t="s">
        <v>304</v>
      </c>
      <c r="L55" s="28"/>
      <c r="M55" s="28"/>
      <c r="N55" s="477" t="s">
        <v>304</v>
      </c>
      <c r="O55" s="14"/>
      <c r="P55" s="14"/>
      <c r="Q55" s="14" t="s">
        <v>387</v>
      </c>
      <c r="R55" s="14"/>
      <c r="S55" s="14"/>
      <c r="T55" s="14" t="s">
        <v>387</v>
      </c>
      <c r="U55" s="28"/>
      <c r="V55" s="547"/>
      <c r="W55" s="547"/>
      <c r="X55" s="547"/>
      <c r="Y55" s="646"/>
      <c r="Z55" s="12"/>
      <c r="AA55" s="18"/>
    </row>
    <row r="56" spans="1:30" ht="39" customHeight="1" x14ac:dyDescent="0.25">
      <c r="B56" s="9"/>
      <c r="C56" s="10"/>
      <c r="D56" s="10"/>
      <c r="E56" s="10"/>
      <c r="F56" s="10"/>
      <c r="G56" s="10"/>
      <c r="H56" s="26"/>
      <c r="I56" s="28"/>
      <c r="J56" s="28"/>
      <c r="K56" s="477" t="s">
        <v>401</v>
      </c>
      <c r="L56" s="477"/>
      <c r="M56" s="477"/>
      <c r="N56" s="477" t="s">
        <v>401</v>
      </c>
      <c r="O56" s="14"/>
      <c r="P56" s="14"/>
      <c r="Q56" s="14"/>
      <c r="R56" s="14"/>
      <c r="S56" s="14"/>
      <c r="T56" s="14" t="s">
        <v>388</v>
      </c>
      <c r="U56" s="28"/>
      <c r="V56" s="547"/>
      <c r="W56" s="547"/>
      <c r="X56" s="547"/>
      <c r="Y56" s="646"/>
      <c r="Z56" s="12"/>
      <c r="AA56" s="18"/>
    </row>
    <row r="57" spans="1:30" ht="72.75" customHeight="1" x14ac:dyDescent="0.25">
      <c r="B57" s="9"/>
      <c r="C57" s="10"/>
      <c r="D57" s="10"/>
      <c r="E57" s="10"/>
      <c r="F57" s="10"/>
      <c r="G57" s="10"/>
      <c r="H57" s="26"/>
      <c r="I57" s="28"/>
      <c r="J57" s="28"/>
      <c r="K57" s="477" t="s">
        <v>78</v>
      </c>
      <c r="L57" s="28"/>
      <c r="M57" s="28"/>
      <c r="N57" s="477" t="s">
        <v>78</v>
      </c>
      <c r="O57" s="14"/>
      <c r="P57" s="14"/>
      <c r="Q57" s="14" t="s">
        <v>162</v>
      </c>
      <c r="R57" s="14"/>
      <c r="S57" s="14"/>
      <c r="T57" s="14" t="s">
        <v>162</v>
      </c>
      <c r="U57" s="28"/>
      <c r="V57" s="547"/>
      <c r="W57" s="547"/>
      <c r="X57" s="547"/>
      <c r="Y57" s="646"/>
      <c r="Z57" s="12"/>
      <c r="AA57" s="18"/>
    </row>
    <row r="58" spans="1:30" s="490" customFormat="1" ht="74.25" customHeight="1" x14ac:dyDescent="0.25">
      <c r="B58" s="469"/>
      <c r="C58" s="491"/>
      <c r="D58" s="491"/>
      <c r="E58" s="491"/>
      <c r="F58" s="491"/>
      <c r="G58" s="491"/>
      <c r="H58" s="470" t="s">
        <v>71</v>
      </c>
      <c r="I58" s="503"/>
      <c r="J58" s="503"/>
      <c r="K58" s="512"/>
      <c r="L58" s="503"/>
      <c r="M58" s="503"/>
      <c r="N58" s="512"/>
      <c r="O58" s="496"/>
      <c r="P58" s="496"/>
      <c r="Q58" s="496"/>
      <c r="R58" s="496"/>
      <c r="S58" s="496"/>
      <c r="T58" s="496"/>
      <c r="U58" s="503"/>
      <c r="V58" s="548">
        <v>383357100</v>
      </c>
      <c r="W58" s="548">
        <v>381257100</v>
      </c>
      <c r="X58" s="548">
        <f>110000000+88664900+76837100+41520000+30000000</f>
        <v>347022000</v>
      </c>
      <c r="Y58" s="647">
        <f t="shared" si="20"/>
        <v>-34235100</v>
      </c>
      <c r="Z58" s="497"/>
      <c r="AA58" s="498"/>
    </row>
    <row r="59" spans="1:30" s="490" customFormat="1" ht="39" customHeight="1" x14ac:dyDescent="0.25">
      <c r="B59" s="469"/>
      <c r="C59" s="491"/>
      <c r="D59" s="491"/>
      <c r="E59" s="491"/>
      <c r="F59" s="491"/>
      <c r="G59" s="491"/>
      <c r="H59" s="470" t="s">
        <v>405</v>
      </c>
      <c r="I59" s="503"/>
      <c r="J59" s="503"/>
      <c r="K59" s="512"/>
      <c r="L59" s="503"/>
      <c r="M59" s="503"/>
      <c r="N59" s="512"/>
      <c r="O59" s="496"/>
      <c r="P59" s="496"/>
      <c r="Q59" s="496"/>
      <c r="R59" s="496"/>
      <c r="S59" s="496"/>
      <c r="T59" s="496"/>
      <c r="U59" s="503"/>
      <c r="V59" s="548"/>
      <c r="W59" s="548"/>
      <c r="X59" s="548">
        <v>120408000</v>
      </c>
      <c r="Y59" s="647">
        <f t="shared" si="20"/>
        <v>120408000</v>
      </c>
      <c r="Z59" s="497"/>
      <c r="AA59" s="498"/>
    </row>
    <row r="60" spans="1:30" s="490" customFormat="1" ht="31.5" x14ac:dyDescent="0.25">
      <c r="B60" s="469"/>
      <c r="C60" s="491"/>
      <c r="D60" s="491"/>
      <c r="E60" s="491"/>
      <c r="F60" s="491"/>
      <c r="G60" s="491"/>
      <c r="H60" s="470" t="s">
        <v>402</v>
      </c>
      <c r="I60" s="503"/>
      <c r="J60" s="503"/>
      <c r="K60" s="512"/>
      <c r="L60" s="503"/>
      <c r="M60" s="503"/>
      <c r="N60" s="512"/>
      <c r="O60" s="496"/>
      <c r="P60" s="496"/>
      <c r="Q60" s="496"/>
      <c r="R60" s="496"/>
      <c r="S60" s="496"/>
      <c r="T60" s="496"/>
      <c r="U60" s="503"/>
      <c r="V60" s="548"/>
      <c r="W60" s="548"/>
      <c r="X60" s="548">
        <v>200000000</v>
      </c>
      <c r="Y60" s="647">
        <f t="shared" si="20"/>
        <v>200000000</v>
      </c>
      <c r="Z60" s="497"/>
      <c r="AA60" s="498"/>
    </row>
    <row r="61" spans="1:30" ht="116.25" customHeight="1" x14ac:dyDescent="0.25">
      <c r="B61" s="9" t="s">
        <v>166</v>
      </c>
      <c r="C61" s="10" t="s">
        <v>139</v>
      </c>
      <c r="D61" s="10" t="s">
        <v>154</v>
      </c>
      <c r="E61" s="10" t="s">
        <v>149</v>
      </c>
      <c r="F61" s="10" t="s">
        <v>161</v>
      </c>
      <c r="G61" s="10" t="s">
        <v>153</v>
      </c>
      <c r="H61" s="26" t="s">
        <v>80</v>
      </c>
      <c r="I61" s="28" t="s">
        <v>57</v>
      </c>
      <c r="J61" s="28" t="s">
        <v>372</v>
      </c>
      <c r="K61" s="13" t="s">
        <v>81</v>
      </c>
      <c r="L61" s="28" t="s">
        <v>57</v>
      </c>
      <c r="M61" s="28" t="s">
        <v>372</v>
      </c>
      <c r="N61" s="13" t="s">
        <v>81</v>
      </c>
      <c r="O61" s="529">
        <v>1</v>
      </c>
      <c r="P61" s="529">
        <v>0.2</v>
      </c>
      <c r="Q61" s="14" t="s">
        <v>388</v>
      </c>
      <c r="R61" s="529">
        <v>1</v>
      </c>
      <c r="S61" s="529">
        <v>0.2</v>
      </c>
      <c r="T61" s="14" t="s">
        <v>388</v>
      </c>
      <c r="U61" s="28" t="s">
        <v>383</v>
      </c>
      <c r="V61" s="547">
        <f>V62</f>
        <v>50000000</v>
      </c>
      <c r="W61" s="547">
        <f t="shared" ref="W61:X61" si="22">W62</f>
        <v>50000000</v>
      </c>
      <c r="X61" s="547">
        <f t="shared" si="22"/>
        <v>50000000</v>
      </c>
      <c r="Y61" s="646"/>
      <c r="Z61" s="12"/>
      <c r="AA61" s="18" t="s">
        <v>167</v>
      </c>
      <c r="AD61" s="17" t="e">
        <f>VLOOKUP(AA61&amp;H61,#REF!,9,FALSE)</f>
        <v>#REF!</v>
      </c>
    </row>
    <row r="62" spans="1:30" s="490" customFormat="1" ht="60" customHeight="1" x14ac:dyDescent="0.25">
      <c r="B62" s="469"/>
      <c r="C62" s="491"/>
      <c r="D62" s="491"/>
      <c r="E62" s="491"/>
      <c r="F62" s="491"/>
      <c r="G62" s="491"/>
      <c r="H62" s="470" t="s">
        <v>80</v>
      </c>
      <c r="I62" s="503"/>
      <c r="J62" s="503"/>
      <c r="K62" s="512"/>
      <c r="L62" s="503"/>
      <c r="M62" s="503"/>
      <c r="N62" s="512"/>
      <c r="O62" s="496"/>
      <c r="P62" s="496"/>
      <c r="Q62" s="496"/>
      <c r="R62" s="496"/>
      <c r="S62" s="496"/>
      <c r="T62" s="496"/>
      <c r="U62" s="503"/>
      <c r="V62" s="548">
        <v>50000000</v>
      </c>
      <c r="W62" s="548">
        <v>50000000</v>
      </c>
      <c r="X62" s="548">
        <v>50000000</v>
      </c>
      <c r="Y62" s="646"/>
      <c r="Z62" s="497"/>
      <c r="AA62" s="498"/>
    </row>
    <row r="63" spans="1:30" ht="35.1" customHeight="1" x14ac:dyDescent="0.25">
      <c r="A63" s="17" t="str">
        <f>AA63</f>
        <v>Dinas Sosial</v>
      </c>
      <c r="B63" s="5" t="s">
        <v>166</v>
      </c>
      <c r="C63" s="551">
        <v>1</v>
      </c>
      <c r="D63" s="551">
        <v>6</v>
      </c>
      <c r="E63" s="551">
        <v>4</v>
      </c>
      <c r="F63" s="551"/>
      <c r="G63" s="551"/>
      <c r="H63" s="565" t="s">
        <v>82</v>
      </c>
      <c r="I63" s="558"/>
      <c r="J63" s="558"/>
      <c r="K63" s="558"/>
      <c r="L63" s="558"/>
      <c r="M63" s="558"/>
      <c r="N63" s="558"/>
      <c r="O63" s="566"/>
      <c r="P63" s="557"/>
      <c r="Q63" s="566"/>
      <c r="R63" s="566"/>
      <c r="S63" s="557"/>
      <c r="T63" s="566"/>
      <c r="U63" s="558"/>
      <c r="V63" s="559">
        <f>V64+V78</f>
        <v>714150000</v>
      </c>
      <c r="W63" s="559">
        <f t="shared" ref="W63:X63" si="23">W64+W78</f>
        <v>712712500</v>
      </c>
      <c r="X63" s="559">
        <f t="shared" si="23"/>
        <v>687362500</v>
      </c>
      <c r="Y63" s="644">
        <f t="shared" si="20"/>
        <v>-25350000</v>
      </c>
      <c r="Z63" s="564"/>
      <c r="AA63" s="18" t="s">
        <v>167</v>
      </c>
    </row>
    <row r="64" spans="1:30" ht="31.5" x14ac:dyDescent="0.25">
      <c r="B64" s="5" t="s">
        <v>166</v>
      </c>
      <c r="C64" s="569" t="s">
        <v>139</v>
      </c>
      <c r="D64" s="569" t="s">
        <v>154</v>
      </c>
      <c r="E64" s="569" t="s">
        <v>157</v>
      </c>
      <c r="F64" s="570" t="s">
        <v>141</v>
      </c>
      <c r="G64" s="569"/>
      <c r="H64" s="571" t="s">
        <v>86</v>
      </c>
      <c r="I64" s="572"/>
      <c r="J64" s="573"/>
      <c r="K64" s="573"/>
      <c r="L64" s="572"/>
      <c r="M64" s="573"/>
      <c r="N64" s="573"/>
      <c r="O64" s="574"/>
      <c r="P64" s="575"/>
      <c r="Q64" s="575"/>
      <c r="R64" s="574"/>
      <c r="S64" s="575"/>
      <c r="T64" s="575"/>
      <c r="U64" s="572"/>
      <c r="V64" s="576">
        <f>V65+V67+V69+V71+V74</f>
        <v>481550000</v>
      </c>
      <c r="W64" s="576">
        <f t="shared" ref="W64:X64" si="24">W65+W67+W69+W71+W74</f>
        <v>481550000</v>
      </c>
      <c r="X64" s="576">
        <f t="shared" si="24"/>
        <v>471800000</v>
      </c>
      <c r="Y64" s="645">
        <f t="shared" si="20"/>
        <v>-9750000</v>
      </c>
      <c r="Z64" s="577"/>
      <c r="AA64" s="18" t="s">
        <v>167</v>
      </c>
    </row>
    <row r="65" spans="2:30" ht="154.5" customHeight="1" x14ac:dyDescent="0.25">
      <c r="B65" s="9" t="s">
        <v>166</v>
      </c>
      <c r="C65" s="10">
        <v>1</v>
      </c>
      <c r="D65" s="10">
        <v>6</v>
      </c>
      <c r="E65" s="10">
        <v>4</v>
      </c>
      <c r="F65" s="11" t="s">
        <v>141</v>
      </c>
      <c r="G65" s="20" t="s">
        <v>140</v>
      </c>
      <c r="H65" s="26" t="s">
        <v>87</v>
      </c>
      <c r="I65" s="28" t="s">
        <v>83</v>
      </c>
      <c r="J65" s="28" t="s">
        <v>373</v>
      </c>
      <c r="K65" s="480" t="s">
        <v>312</v>
      </c>
      <c r="L65" s="28" t="s">
        <v>83</v>
      </c>
      <c r="M65" s="28" t="s">
        <v>373</v>
      </c>
      <c r="N65" s="480" t="s">
        <v>312</v>
      </c>
      <c r="O65" s="539">
        <v>0.45379999999999998</v>
      </c>
      <c r="P65" s="529">
        <v>0.2</v>
      </c>
      <c r="Q65" s="14" t="s">
        <v>170</v>
      </c>
      <c r="R65" s="539">
        <v>0.45379999999999998</v>
      </c>
      <c r="S65" s="529">
        <v>0.2</v>
      </c>
      <c r="T65" s="14" t="s">
        <v>170</v>
      </c>
      <c r="U65" s="28" t="s">
        <v>383</v>
      </c>
      <c r="V65" s="547">
        <f>V66</f>
        <v>47000000</v>
      </c>
      <c r="W65" s="547">
        <f t="shared" ref="W65:X65" si="25">W66</f>
        <v>47000000</v>
      </c>
      <c r="X65" s="547">
        <f t="shared" si="25"/>
        <v>47000000</v>
      </c>
      <c r="Y65" s="646"/>
      <c r="Z65" s="12"/>
      <c r="AA65" s="18" t="s">
        <v>167</v>
      </c>
      <c r="AD65" s="17" t="e">
        <f>VLOOKUP(AA65&amp;H65,#REF!,9,FALSE)</f>
        <v>#REF!</v>
      </c>
    </row>
    <row r="66" spans="2:30" s="490" customFormat="1" ht="28.5" customHeight="1" x14ac:dyDescent="0.25">
      <c r="B66" s="469"/>
      <c r="C66" s="491"/>
      <c r="D66" s="491"/>
      <c r="E66" s="491"/>
      <c r="F66" s="492"/>
      <c r="G66" s="513"/>
      <c r="H66" s="470" t="s">
        <v>87</v>
      </c>
      <c r="I66" s="503"/>
      <c r="J66" s="503"/>
      <c r="K66" s="511"/>
      <c r="L66" s="503"/>
      <c r="M66" s="503"/>
      <c r="N66" s="511"/>
      <c r="O66" s="496"/>
      <c r="P66" s="496"/>
      <c r="Q66" s="496"/>
      <c r="R66" s="496"/>
      <c r="S66" s="496"/>
      <c r="T66" s="496"/>
      <c r="U66" s="503"/>
      <c r="V66" s="548">
        <v>47000000</v>
      </c>
      <c r="W66" s="548">
        <v>47000000</v>
      </c>
      <c r="X66" s="548">
        <v>47000000</v>
      </c>
      <c r="Y66" s="647"/>
      <c r="Z66" s="497"/>
      <c r="AA66" s="498"/>
    </row>
    <row r="67" spans="2:30" ht="151.5" customHeight="1" x14ac:dyDescent="0.25">
      <c r="B67" s="9" t="s">
        <v>166</v>
      </c>
      <c r="C67" s="10">
        <v>1</v>
      </c>
      <c r="D67" s="10">
        <v>6</v>
      </c>
      <c r="E67" s="10">
        <v>4</v>
      </c>
      <c r="F67" s="11" t="s">
        <v>141</v>
      </c>
      <c r="G67" s="10">
        <v>3</v>
      </c>
      <c r="H67" s="26" t="s">
        <v>88</v>
      </c>
      <c r="I67" s="28" t="s">
        <v>83</v>
      </c>
      <c r="J67" s="28" t="s">
        <v>373</v>
      </c>
      <c r="K67" s="479" t="s">
        <v>313</v>
      </c>
      <c r="L67" s="28" t="s">
        <v>83</v>
      </c>
      <c r="M67" s="28" t="s">
        <v>373</v>
      </c>
      <c r="N67" s="479" t="s">
        <v>313</v>
      </c>
      <c r="O67" s="539">
        <v>0.45379999999999998</v>
      </c>
      <c r="P67" s="529">
        <v>0.2</v>
      </c>
      <c r="Q67" s="14" t="s">
        <v>389</v>
      </c>
      <c r="R67" s="539">
        <v>0.45379999999999998</v>
      </c>
      <c r="S67" s="529">
        <v>0.2</v>
      </c>
      <c r="T67" s="14" t="s">
        <v>389</v>
      </c>
      <c r="U67" s="28" t="s">
        <v>383</v>
      </c>
      <c r="V67" s="547">
        <f>V68</f>
        <v>104750000</v>
      </c>
      <c r="W67" s="547">
        <f t="shared" ref="W67:X67" si="26">W68</f>
        <v>104750000</v>
      </c>
      <c r="X67" s="547">
        <f t="shared" si="26"/>
        <v>104750000</v>
      </c>
      <c r="Y67" s="646"/>
      <c r="Z67" s="12"/>
      <c r="AA67" s="18" t="s">
        <v>167</v>
      </c>
      <c r="AD67" s="17" t="e">
        <f>VLOOKUP(AA67&amp;H67,#REF!,9,FALSE)</f>
        <v>#REF!</v>
      </c>
    </row>
    <row r="68" spans="2:30" s="490" customFormat="1" ht="27" customHeight="1" x14ac:dyDescent="0.25">
      <c r="B68" s="469"/>
      <c r="C68" s="491"/>
      <c r="D68" s="491"/>
      <c r="E68" s="491"/>
      <c r="F68" s="492"/>
      <c r="G68" s="491"/>
      <c r="H68" s="470" t="s">
        <v>88</v>
      </c>
      <c r="I68" s="503"/>
      <c r="J68" s="503"/>
      <c r="K68" s="505"/>
      <c r="L68" s="503"/>
      <c r="M68" s="503"/>
      <c r="N68" s="505"/>
      <c r="O68" s="496"/>
      <c r="P68" s="496"/>
      <c r="Q68" s="496"/>
      <c r="R68" s="496"/>
      <c r="S68" s="496"/>
      <c r="T68" s="496"/>
      <c r="U68" s="503"/>
      <c r="V68" s="548">
        <v>104750000</v>
      </c>
      <c r="W68" s="548">
        <v>104750000</v>
      </c>
      <c r="X68" s="548">
        <v>104750000</v>
      </c>
      <c r="Y68" s="647"/>
      <c r="Z68" s="497"/>
      <c r="AA68" s="498"/>
    </row>
    <row r="69" spans="2:30" ht="153" customHeight="1" x14ac:dyDescent="0.25">
      <c r="B69" s="9" t="s">
        <v>166</v>
      </c>
      <c r="C69" s="10" t="s">
        <v>139</v>
      </c>
      <c r="D69" s="10" t="s">
        <v>154</v>
      </c>
      <c r="E69" s="10" t="s">
        <v>157</v>
      </c>
      <c r="F69" s="11" t="s">
        <v>141</v>
      </c>
      <c r="G69" s="10" t="s">
        <v>157</v>
      </c>
      <c r="H69" s="26" t="s">
        <v>91</v>
      </c>
      <c r="I69" s="28" t="s">
        <v>83</v>
      </c>
      <c r="J69" s="28" t="s">
        <v>373</v>
      </c>
      <c r="K69" s="479" t="s">
        <v>314</v>
      </c>
      <c r="L69" s="28" t="s">
        <v>83</v>
      </c>
      <c r="M69" s="28" t="s">
        <v>373</v>
      </c>
      <c r="N69" s="479" t="s">
        <v>314</v>
      </c>
      <c r="O69" s="539">
        <v>0.45379999999999998</v>
      </c>
      <c r="P69" s="529">
        <v>0.2</v>
      </c>
      <c r="Q69" s="14" t="s">
        <v>177</v>
      </c>
      <c r="R69" s="539">
        <v>0.45379999999999998</v>
      </c>
      <c r="S69" s="529">
        <v>0.2</v>
      </c>
      <c r="T69" s="14" t="s">
        <v>177</v>
      </c>
      <c r="U69" s="28" t="s">
        <v>383</v>
      </c>
      <c r="V69" s="547">
        <f>V70</f>
        <v>90000000</v>
      </c>
      <c r="W69" s="547">
        <f t="shared" ref="W69:X69" si="27">W70</f>
        <v>90000000</v>
      </c>
      <c r="X69" s="547">
        <f t="shared" si="27"/>
        <v>5250000</v>
      </c>
      <c r="Y69" s="646">
        <f t="shared" si="20"/>
        <v>-84750000</v>
      </c>
      <c r="Z69" s="12"/>
      <c r="AA69" s="18" t="s">
        <v>167</v>
      </c>
      <c r="AD69" s="17" t="e">
        <f>VLOOKUP(AA69&amp;H69,#REF!,9,FALSE)</f>
        <v>#REF!</v>
      </c>
    </row>
    <row r="70" spans="2:30" s="490" customFormat="1" ht="42.75" customHeight="1" x14ac:dyDescent="0.25">
      <c r="B70" s="469"/>
      <c r="C70" s="491"/>
      <c r="D70" s="491"/>
      <c r="E70" s="491"/>
      <c r="F70" s="492"/>
      <c r="G70" s="491"/>
      <c r="H70" s="470" t="s">
        <v>91</v>
      </c>
      <c r="I70" s="503"/>
      <c r="J70" s="503"/>
      <c r="K70" s="504"/>
      <c r="L70" s="503"/>
      <c r="M70" s="503"/>
      <c r="N70" s="504"/>
      <c r="O70" s="496"/>
      <c r="P70" s="496"/>
      <c r="Q70" s="496"/>
      <c r="R70" s="496"/>
      <c r="S70" s="496"/>
      <c r="T70" s="496"/>
      <c r="U70" s="503"/>
      <c r="V70" s="548">
        <v>90000000</v>
      </c>
      <c r="W70" s="548">
        <v>90000000</v>
      </c>
      <c r="X70" s="548">
        <v>5250000</v>
      </c>
      <c r="Y70" s="647">
        <f t="shared" si="20"/>
        <v>-84750000</v>
      </c>
      <c r="Z70" s="497"/>
      <c r="AA70" s="498"/>
    </row>
    <row r="71" spans="2:30" ht="157.5" customHeight="1" x14ac:dyDescent="0.25">
      <c r="B71" s="9" t="s">
        <v>166</v>
      </c>
      <c r="C71" s="10" t="s">
        <v>139</v>
      </c>
      <c r="D71" s="10" t="s">
        <v>154</v>
      </c>
      <c r="E71" s="10" t="s">
        <v>157</v>
      </c>
      <c r="F71" s="11" t="s">
        <v>141</v>
      </c>
      <c r="G71" s="10" t="s">
        <v>153</v>
      </c>
      <c r="H71" s="26" t="s">
        <v>92</v>
      </c>
      <c r="I71" s="28" t="s">
        <v>83</v>
      </c>
      <c r="J71" s="28" t="s">
        <v>373</v>
      </c>
      <c r="K71" s="478" t="s">
        <v>93</v>
      </c>
      <c r="L71" s="28" t="s">
        <v>83</v>
      </c>
      <c r="M71" s="28" t="s">
        <v>373</v>
      </c>
      <c r="N71" s="478" t="s">
        <v>93</v>
      </c>
      <c r="O71" s="539">
        <v>0.45379999999999998</v>
      </c>
      <c r="P71" s="529">
        <v>0.2</v>
      </c>
      <c r="Q71" s="14" t="s">
        <v>390</v>
      </c>
      <c r="R71" s="539">
        <v>0.45379999999999998</v>
      </c>
      <c r="S71" s="529">
        <v>0.2</v>
      </c>
      <c r="T71" s="14" t="s">
        <v>390</v>
      </c>
      <c r="U71" s="28" t="s">
        <v>383</v>
      </c>
      <c r="V71" s="547">
        <f>V73</f>
        <v>26800000</v>
      </c>
      <c r="W71" s="547">
        <f t="shared" ref="W71:X71" si="28">W73</f>
        <v>26800000</v>
      </c>
      <c r="X71" s="547">
        <f t="shared" si="28"/>
        <v>26800000</v>
      </c>
      <c r="Y71" s="646"/>
      <c r="Z71" s="12"/>
      <c r="AA71" s="18" t="s">
        <v>167</v>
      </c>
      <c r="AD71" s="17" t="e">
        <f>VLOOKUP(AA71&amp;H71,#REF!,9,FALSE)</f>
        <v>#REF!</v>
      </c>
    </row>
    <row r="72" spans="2:30" ht="88.5" customHeight="1" x14ac:dyDescent="0.25">
      <c r="B72" s="9"/>
      <c r="C72" s="10"/>
      <c r="D72" s="10"/>
      <c r="E72" s="10"/>
      <c r="F72" s="11"/>
      <c r="G72" s="10"/>
      <c r="H72" s="26"/>
      <c r="I72" s="28"/>
      <c r="J72" s="28"/>
      <c r="K72" s="478" t="s">
        <v>317</v>
      </c>
      <c r="L72" s="28"/>
      <c r="M72" s="28"/>
      <c r="N72" s="478" t="s">
        <v>317</v>
      </c>
      <c r="O72" s="14"/>
      <c r="P72" s="14"/>
      <c r="Q72" s="14" t="s">
        <v>169</v>
      </c>
      <c r="R72" s="14"/>
      <c r="S72" s="14"/>
      <c r="T72" s="14" t="s">
        <v>169</v>
      </c>
      <c r="U72" s="28"/>
      <c r="V72" s="547"/>
      <c r="W72" s="547"/>
      <c r="X72" s="547"/>
      <c r="Y72" s="646"/>
      <c r="Z72" s="12"/>
      <c r="AA72" s="18"/>
    </row>
    <row r="73" spans="2:30" s="490" customFormat="1" ht="40.5" customHeight="1" x14ac:dyDescent="0.25">
      <c r="B73" s="469"/>
      <c r="C73" s="491"/>
      <c r="D73" s="491"/>
      <c r="E73" s="491"/>
      <c r="F73" s="492"/>
      <c r="G73" s="491"/>
      <c r="H73" s="470" t="s">
        <v>92</v>
      </c>
      <c r="I73" s="503"/>
      <c r="J73" s="503"/>
      <c r="K73" s="514"/>
      <c r="L73" s="503"/>
      <c r="M73" s="503"/>
      <c r="N73" s="514"/>
      <c r="O73" s="496"/>
      <c r="P73" s="496"/>
      <c r="Q73" s="496"/>
      <c r="R73" s="496"/>
      <c r="S73" s="496"/>
      <c r="T73" s="496"/>
      <c r="U73" s="503"/>
      <c r="V73" s="548">
        <v>26800000</v>
      </c>
      <c r="W73" s="548">
        <v>26800000</v>
      </c>
      <c r="X73" s="548">
        <v>26800000</v>
      </c>
      <c r="Y73" s="647"/>
      <c r="Z73" s="497"/>
      <c r="AA73" s="498"/>
    </row>
    <row r="74" spans="2:30" ht="153" customHeight="1" x14ac:dyDescent="0.25">
      <c r="B74" s="9" t="s">
        <v>166</v>
      </c>
      <c r="C74" s="10" t="s">
        <v>139</v>
      </c>
      <c r="D74" s="10" t="s">
        <v>154</v>
      </c>
      <c r="E74" s="10" t="s">
        <v>157</v>
      </c>
      <c r="F74" s="11" t="s">
        <v>141</v>
      </c>
      <c r="G74" s="10" t="s">
        <v>160</v>
      </c>
      <c r="H74" s="26" t="s">
        <v>94</v>
      </c>
      <c r="I74" s="28" t="s">
        <v>83</v>
      </c>
      <c r="J74" s="28" t="s">
        <v>373</v>
      </c>
      <c r="K74" s="482" t="s">
        <v>95</v>
      </c>
      <c r="L74" s="28" t="s">
        <v>83</v>
      </c>
      <c r="M74" s="28" t="s">
        <v>373</v>
      </c>
      <c r="N74" s="482" t="s">
        <v>95</v>
      </c>
      <c r="O74" s="539">
        <v>0.45379999999999998</v>
      </c>
      <c r="P74" s="529">
        <v>0.2</v>
      </c>
      <c r="Q74" s="14" t="s">
        <v>171</v>
      </c>
      <c r="R74" s="539">
        <v>0.45379999999999998</v>
      </c>
      <c r="S74" s="529">
        <v>0.2</v>
      </c>
      <c r="T74" s="14" t="s">
        <v>171</v>
      </c>
      <c r="U74" s="28" t="s">
        <v>383</v>
      </c>
      <c r="V74" s="547">
        <f>V76+V77</f>
        <v>213000000</v>
      </c>
      <c r="W74" s="547">
        <f t="shared" ref="W74:X74" si="29">W76+W77</f>
        <v>213000000</v>
      </c>
      <c r="X74" s="547">
        <f t="shared" si="29"/>
        <v>288000000</v>
      </c>
      <c r="Y74" s="646">
        <f t="shared" si="20"/>
        <v>75000000</v>
      </c>
      <c r="Z74" s="12"/>
      <c r="AA74" s="18" t="s">
        <v>167</v>
      </c>
      <c r="AD74" s="17" t="e">
        <f>VLOOKUP(AA74&amp;H74,#REF!,9,FALSE)</f>
        <v>#REF!</v>
      </c>
    </row>
    <row r="75" spans="2:30" ht="88.5" customHeight="1" x14ac:dyDescent="0.25">
      <c r="B75" s="9"/>
      <c r="C75" s="10"/>
      <c r="D75" s="10"/>
      <c r="E75" s="10"/>
      <c r="F75" s="11"/>
      <c r="G75" s="10"/>
      <c r="H75" s="26"/>
      <c r="I75" s="28"/>
      <c r="J75" s="28"/>
      <c r="K75" s="480" t="s">
        <v>96</v>
      </c>
      <c r="L75" s="28"/>
      <c r="M75" s="28"/>
      <c r="N75" s="480" t="s">
        <v>96</v>
      </c>
      <c r="O75" s="14"/>
      <c r="P75" s="14"/>
      <c r="Q75" s="14" t="s">
        <v>175</v>
      </c>
      <c r="R75" s="14"/>
      <c r="S75" s="14"/>
      <c r="T75" s="14" t="s">
        <v>175</v>
      </c>
      <c r="U75" s="28"/>
      <c r="V75" s="547"/>
      <c r="W75" s="547"/>
      <c r="X75" s="547"/>
      <c r="Y75" s="646"/>
      <c r="Z75" s="12"/>
      <c r="AA75" s="18"/>
    </row>
    <row r="76" spans="2:30" s="490" customFormat="1" ht="39" customHeight="1" x14ac:dyDescent="0.25">
      <c r="B76" s="469"/>
      <c r="C76" s="491"/>
      <c r="D76" s="491"/>
      <c r="E76" s="491"/>
      <c r="F76" s="492"/>
      <c r="G76" s="491"/>
      <c r="H76" s="470" t="s">
        <v>94</v>
      </c>
      <c r="I76" s="503"/>
      <c r="J76" s="503"/>
      <c r="K76" s="503"/>
      <c r="L76" s="503"/>
      <c r="M76" s="503"/>
      <c r="N76" s="503"/>
      <c r="O76" s="496"/>
      <c r="P76" s="496"/>
      <c r="Q76" s="496"/>
      <c r="R76" s="496"/>
      <c r="S76" s="496"/>
      <c r="T76" s="496"/>
      <c r="U76" s="503"/>
      <c r="V76" s="548">
        <v>213000000</v>
      </c>
      <c r="W76" s="548">
        <v>13000000</v>
      </c>
      <c r="X76" s="548">
        <v>13000000</v>
      </c>
      <c r="Y76" s="646"/>
      <c r="Z76" s="497"/>
      <c r="AA76" s="498"/>
    </row>
    <row r="77" spans="2:30" s="490" customFormat="1" ht="27" customHeight="1" x14ac:dyDescent="0.25">
      <c r="B77" s="469"/>
      <c r="C77" s="491"/>
      <c r="D77" s="491"/>
      <c r="E77" s="491"/>
      <c r="F77" s="492"/>
      <c r="G77" s="491"/>
      <c r="H77" s="470" t="s">
        <v>396</v>
      </c>
      <c r="I77" s="503"/>
      <c r="J77" s="503"/>
      <c r="K77" s="503"/>
      <c r="L77" s="503"/>
      <c r="M77" s="503"/>
      <c r="N77" s="503"/>
      <c r="O77" s="496"/>
      <c r="P77" s="496"/>
      <c r="Q77" s="496"/>
      <c r="R77" s="496"/>
      <c r="S77" s="496"/>
      <c r="T77" s="496"/>
      <c r="U77" s="503"/>
      <c r="V77" s="548"/>
      <c r="W77" s="548">
        <v>200000000</v>
      </c>
      <c r="X77" s="548">
        <v>275000000</v>
      </c>
      <c r="Y77" s="647">
        <f t="shared" si="20"/>
        <v>75000000</v>
      </c>
      <c r="Z77" s="497"/>
      <c r="AA77" s="498"/>
    </row>
    <row r="78" spans="2:30" ht="31.5" x14ac:dyDescent="0.25">
      <c r="B78" s="5" t="s">
        <v>166</v>
      </c>
      <c r="C78" s="569" t="s">
        <v>139</v>
      </c>
      <c r="D78" s="569" t="s">
        <v>154</v>
      </c>
      <c r="E78" s="569" t="s">
        <v>157</v>
      </c>
      <c r="F78" s="570" t="s">
        <v>147</v>
      </c>
      <c r="G78" s="569"/>
      <c r="H78" s="571" t="s">
        <v>97</v>
      </c>
      <c r="I78" s="572"/>
      <c r="J78" s="573"/>
      <c r="K78" s="573"/>
      <c r="L78" s="572"/>
      <c r="M78" s="573"/>
      <c r="N78" s="573"/>
      <c r="O78" s="574"/>
      <c r="P78" s="575"/>
      <c r="Q78" s="575"/>
      <c r="R78" s="574"/>
      <c r="S78" s="575"/>
      <c r="T78" s="575"/>
      <c r="U78" s="572"/>
      <c r="V78" s="576">
        <f>V79+V81+V83+V86</f>
        <v>232600000</v>
      </c>
      <c r="W78" s="576">
        <f t="shared" ref="W78:X78" si="30">W79+W81+W83+W86</f>
        <v>231162500</v>
      </c>
      <c r="X78" s="576">
        <f t="shared" si="30"/>
        <v>215562500</v>
      </c>
      <c r="Y78" s="645">
        <f t="shared" si="20"/>
        <v>-15600000</v>
      </c>
      <c r="Z78" s="584"/>
      <c r="AA78" s="18" t="s">
        <v>167</v>
      </c>
    </row>
    <row r="79" spans="2:30" ht="153" customHeight="1" x14ac:dyDescent="0.25">
      <c r="B79" s="9" t="s">
        <v>166</v>
      </c>
      <c r="C79" s="10">
        <v>1</v>
      </c>
      <c r="D79" s="10">
        <v>6</v>
      </c>
      <c r="E79" s="10">
        <v>4</v>
      </c>
      <c r="F79" s="10" t="s">
        <v>147</v>
      </c>
      <c r="G79" s="10">
        <v>3</v>
      </c>
      <c r="H79" s="26" t="s">
        <v>87</v>
      </c>
      <c r="I79" s="28" t="s">
        <v>83</v>
      </c>
      <c r="J79" s="28" t="s">
        <v>373</v>
      </c>
      <c r="K79" s="478" t="s">
        <v>98</v>
      </c>
      <c r="L79" s="28" t="s">
        <v>83</v>
      </c>
      <c r="M79" s="28" t="s">
        <v>373</v>
      </c>
      <c r="N79" s="478" t="s">
        <v>98</v>
      </c>
      <c r="O79" s="539">
        <v>0.45379999999999998</v>
      </c>
      <c r="P79" s="529">
        <v>0.2</v>
      </c>
      <c r="Q79" s="14" t="s">
        <v>164</v>
      </c>
      <c r="R79" s="539">
        <v>0.45379999999999998</v>
      </c>
      <c r="S79" s="529">
        <v>0.2</v>
      </c>
      <c r="T79" s="14" t="s">
        <v>164</v>
      </c>
      <c r="U79" s="28" t="s">
        <v>383</v>
      </c>
      <c r="V79" s="547">
        <f>V80</f>
        <v>35000000</v>
      </c>
      <c r="W79" s="547">
        <f t="shared" ref="W79:X79" si="31">W80</f>
        <v>35000000</v>
      </c>
      <c r="X79" s="547">
        <f t="shared" si="31"/>
        <v>35000000</v>
      </c>
      <c r="Y79" s="646"/>
      <c r="Z79" s="12"/>
      <c r="AA79" s="18" t="s">
        <v>167</v>
      </c>
      <c r="AD79" s="17" t="e">
        <f>VLOOKUP(AA79&amp;H79,#REF!,9,FALSE)</f>
        <v>#REF!</v>
      </c>
    </row>
    <row r="80" spans="2:30" s="490" customFormat="1" ht="29.25" customHeight="1" x14ac:dyDescent="0.25">
      <c r="B80" s="469"/>
      <c r="C80" s="491"/>
      <c r="D80" s="491"/>
      <c r="E80" s="491"/>
      <c r="F80" s="491"/>
      <c r="G80" s="491"/>
      <c r="H80" s="470" t="s">
        <v>87</v>
      </c>
      <c r="I80" s="503"/>
      <c r="J80" s="526"/>
      <c r="K80" s="527"/>
      <c r="L80" s="503"/>
      <c r="M80" s="526"/>
      <c r="N80" s="527"/>
      <c r="O80" s="496"/>
      <c r="P80" s="496"/>
      <c r="Q80" s="496"/>
      <c r="R80" s="496"/>
      <c r="S80" s="496"/>
      <c r="T80" s="496"/>
      <c r="U80" s="503"/>
      <c r="V80" s="548">
        <v>35000000</v>
      </c>
      <c r="W80" s="548">
        <v>35000000</v>
      </c>
      <c r="X80" s="548">
        <v>35000000</v>
      </c>
      <c r="Y80" s="646"/>
      <c r="Z80" s="497"/>
      <c r="AA80" s="498"/>
    </row>
    <row r="81" spans="1:30" ht="156.75" customHeight="1" x14ac:dyDescent="0.25">
      <c r="B81" s="9" t="s">
        <v>166</v>
      </c>
      <c r="C81" s="10">
        <v>1</v>
      </c>
      <c r="D81" s="10">
        <v>6</v>
      </c>
      <c r="E81" s="10">
        <v>4</v>
      </c>
      <c r="F81" s="10" t="s">
        <v>147</v>
      </c>
      <c r="G81" s="10">
        <v>4</v>
      </c>
      <c r="H81" s="26" t="s">
        <v>99</v>
      </c>
      <c r="I81" s="28" t="s">
        <v>83</v>
      </c>
      <c r="J81" s="28" t="s">
        <v>373</v>
      </c>
      <c r="K81" s="479" t="s">
        <v>100</v>
      </c>
      <c r="L81" s="28" t="s">
        <v>83</v>
      </c>
      <c r="M81" s="28" t="s">
        <v>373</v>
      </c>
      <c r="N81" s="479" t="s">
        <v>100</v>
      </c>
      <c r="O81" s="539">
        <v>0.45379999999999998</v>
      </c>
      <c r="P81" s="529">
        <v>0.2</v>
      </c>
      <c r="Q81" s="14" t="s">
        <v>164</v>
      </c>
      <c r="R81" s="539">
        <v>0.45379999999999998</v>
      </c>
      <c r="S81" s="529">
        <v>0.2</v>
      </c>
      <c r="T81" s="14" t="s">
        <v>164</v>
      </c>
      <c r="U81" s="28" t="s">
        <v>383</v>
      </c>
      <c r="V81" s="547">
        <f>V82</f>
        <v>6000000</v>
      </c>
      <c r="W81" s="547">
        <f t="shared" ref="W81:X81" si="32">W82</f>
        <v>6000000</v>
      </c>
      <c r="X81" s="547">
        <f t="shared" si="32"/>
        <v>6000000</v>
      </c>
      <c r="Y81" s="646"/>
      <c r="Z81" s="12"/>
      <c r="AA81" s="18" t="s">
        <v>167</v>
      </c>
      <c r="AD81" s="17" t="e">
        <f>VLOOKUP(AA81&amp;H81,#REF!,9,FALSE)</f>
        <v>#REF!</v>
      </c>
    </row>
    <row r="82" spans="1:30" s="490" customFormat="1" ht="21.75" customHeight="1" x14ac:dyDescent="0.25">
      <c r="B82" s="469"/>
      <c r="C82" s="491"/>
      <c r="D82" s="491"/>
      <c r="E82" s="491"/>
      <c r="F82" s="491"/>
      <c r="G82" s="491"/>
      <c r="H82" s="470" t="s">
        <v>99</v>
      </c>
      <c r="I82" s="503"/>
      <c r="J82" s="503"/>
      <c r="K82" s="505"/>
      <c r="L82" s="503"/>
      <c r="M82" s="503"/>
      <c r="N82" s="505"/>
      <c r="O82" s="496"/>
      <c r="P82" s="496"/>
      <c r="Q82" s="496"/>
      <c r="R82" s="496"/>
      <c r="S82" s="496"/>
      <c r="T82" s="496"/>
      <c r="U82" s="503"/>
      <c r="V82" s="548">
        <v>6000000</v>
      </c>
      <c r="W82" s="548">
        <v>6000000</v>
      </c>
      <c r="X82" s="548">
        <v>6000000</v>
      </c>
      <c r="Y82" s="646"/>
      <c r="Z82" s="497"/>
      <c r="AA82" s="498"/>
    </row>
    <row r="83" spans="1:30" ht="156.75" customHeight="1" x14ac:dyDescent="0.25">
      <c r="B83" s="9" t="s">
        <v>166</v>
      </c>
      <c r="C83" s="10" t="s">
        <v>139</v>
      </c>
      <c r="D83" s="10" t="s">
        <v>154</v>
      </c>
      <c r="E83" s="10" t="s">
        <v>157</v>
      </c>
      <c r="F83" s="10" t="s">
        <v>147</v>
      </c>
      <c r="G83" s="10" t="s">
        <v>163</v>
      </c>
      <c r="H83" s="26" t="s">
        <v>92</v>
      </c>
      <c r="I83" s="28" t="s">
        <v>83</v>
      </c>
      <c r="J83" s="28" t="s">
        <v>373</v>
      </c>
      <c r="K83" s="477" t="s">
        <v>101</v>
      </c>
      <c r="L83" s="28" t="s">
        <v>83</v>
      </c>
      <c r="M83" s="28" t="s">
        <v>373</v>
      </c>
      <c r="N83" s="477" t="s">
        <v>101</v>
      </c>
      <c r="O83" s="539">
        <v>0.45379999999999998</v>
      </c>
      <c r="P83" s="529">
        <v>0.2</v>
      </c>
      <c r="Q83" s="14" t="s">
        <v>391</v>
      </c>
      <c r="R83" s="539">
        <v>0.45379999999999998</v>
      </c>
      <c r="S83" s="529">
        <v>0.2</v>
      </c>
      <c r="T83" s="14" t="s">
        <v>391</v>
      </c>
      <c r="U83" s="28" t="s">
        <v>383</v>
      </c>
      <c r="V83" s="547">
        <f>V85</f>
        <v>161600000</v>
      </c>
      <c r="W83" s="547">
        <f t="shared" ref="W83:X83" si="33">W85</f>
        <v>160162500</v>
      </c>
      <c r="X83" s="547">
        <f t="shared" si="33"/>
        <v>144562500</v>
      </c>
      <c r="Y83" s="646">
        <f t="shared" si="20"/>
        <v>-15600000</v>
      </c>
      <c r="Z83" s="12"/>
      <c r="AA83" s="18" t="s">
        <v>167</v>
      </c>
      <c r="AD83" s="17" t="e">
        <f>VLOOKUP(AA83&amp;H83,#REF!,9,FALSE)</f>
        <v>#REF!</v>
      </c>
    </row>
    <row r="84" spans="1:30" ht="39" customHeight="1" x14ac:dyDescent="0.25">
      <c r="B84" s="9"/>
      <c r="C84" s="10"/>
      <c r="D84" s="10"/>
      <c r="E84" s="10"/>
      <c r="F84" s="10"/>
      <c r="G84" s="10"/>
      <c r="H84" s="26"/>
      <c r="I84" s="28"/>
      <c r="J84" s="28"/>
      <c r="K84" s="477" t="s">
        <v>102</v>
      </c>
      <c r="L84" s="28"/>
      <c r="M84" s="28"/>
      <c r="N84" s="477" t="s">
        <v>102</v>
      </c>
      <c r="O84" s="14"/>
      <c r="P84" s="14"/>
      <c r="Q84" s="14" t="s">
        <v>392</v>
      </c>
      <c r="R84" s="14"/>
      <c r="S84" s="14"/>
      <c r="T84" s="14" t="s">
        <v>392</v>
      </c>
      <c r="U84" s="28"/>
      <c r="V84" s="547"/>
      <c r="W84" s="547"/>
      <c r="X84" s="547"/>
      <c r="Y84" s="646"/>
      <c r="Z84" s="12"/>
      <c r="AA84" s="18"/>
    </row>
    <row r="85" spans="1:30" s="490" customFormat="1" ht="31.5" x14ac:dyDescent="0.25">
      <c r="B85" s="469"/>
      <c r="C85" s="491"/>
      <c r="D85" s="491"/>
      <c r="E85" s="491"/>
      <c r="F85" s="491"/>
      <c r="G85" s="491"/>
      <c r="H85" s="470" t="s">
        <v>92</v>
      </c>
      <c r="I85" s="503"/>
      <c r="J85" s="503"/>
      <c r="K85" s="525"/>
      <c r="L85" s="503"/>
      <c r="M85" s="503"/>
      <c r="N85" s="525"/>
      <c r="O85" s="496"/>
      <c r="P85" s="496"/>
      <c r="Q85" s="496"/>
      <c r="R85" s="496"/>
      <c r="S85" s="496"/>
      <c r="T85" s="496"/>
      <c r="U85" s="503"/>
      <c r="V85" s="548">
        <v>161600000</v>
      </c>
      <c r="W85" s="548">
        <v>160162500</v>
      </c>
      <c r="X85" s="548">
        <v>144562500</v>
      </c>
      <c r="Y85" s="646">
        <f t="shared" si="20"/>
        <v>-15600000</v>
      </c>
      <c r="Z85" s="497"/>
      <c r="AA85" s="498"/>
    </row>
    <row r="86" spans="1:30" ht="153" customHeight="1" x14ac:dyDescent="0.25">
      <c r="B86" s="9" t="s">
        <v>166</v>
      </c>
      <c r="C86" s="10" t="s">
        <v>139</v>
      </c>
      <c r="D86" s="10" t="s">
        <v>154</v>
      </c>
      <c r="E86" s="10" t="s">
        <v>157</v>
      </c>
      <c r="F86" s="10" t="s">
        <v>147</v>
      </c>
      <c r="G86" s="10" t="s">
        <v>160</v>
      </c>
      <c r="H86" s="26" t="s">
        <v>103</v>
      </c>
      <c r="I86" s="28" t="s">
        <v>83</v>
      </c>
      <c r="J86" s="28" t="s">
        <v>373</v>
      </c>
      <c r="K86" s="477" t="s">
        <v>102</v>
      </c>
      <c r="L86" s="28" t="s">
        <v>83</v>
      </c>
      <c r="M86" s="28" t="s">
        <v>373</v>
      </c>
      <c r="N86" s="477" t="s">
        <v>102</v>
      </c>
      <c r="O86" s="539">
        <v>0.45379999999999998</v>
      </c>
      <c r="P86" s="529">
        <v>0.2</v>
      </c>
      <c r="Q86" s="14" t="s">
        <v>174</v>
      </c>
      <c r="R86" s="539">
        <v>0.45379999999999998</v>
      </c>
      <c r="S86" s="529">
        <v>0.2</v>
      </c>
      <c r="T86" s="14" t="s">
        <v>174</v>
      </c>
      <c r="U86" s="28" t="s">
        <v>383</v>
      </c>
      <c r="V86" s="547">
        <f>V87</f>
        <v>30000000</v>
      </c>
      <c r="W86" s="547">
        <f t="shared" ref="W86:X86" si="34">W87</f>
        <v>30000000</v>
      </c>
      <c r="X86" s="547">
        <f t="shared" si="34"/>
        <v>30000000</v>
      </c>
      <c r="Y86" s="646"/>
      <c r="Z86" s="12"/>
      <c r="AA86" s="18" t="s">
        <v>167</v>
      </c>
      <c r="AD86" s="17" t="e">
        <f>VLOOKUP(AA86&amp;H86,#REF!,9,FALSE)</f>
        <v>#REF!</v>
      </c>
    </row>
    <row r="87" spans="1:30" s="490" customFormat="1" ht="70.5" customHeight="1" x14ac:dyDescent="0.25">
      <c r="B87" s="469"/>
      <c r="C87" s="491"/>
      <c r="D87" s="491"/>
      <c r="E87" s="491"/>
      <c r="F87" s="491"/>
      <c r="G87" s="491"/>
      <c r="H87" s="470" t="s">
        <v>103</v>
      </c>
      <c r="I87" s="503"/>
      <c r="J87" s="503"/>
      <c r="K87" s="525"/>
      <c r="L87" s="503"/>
      <c r="M87" s="503"/>
      <c r="N87" s="525"/>
      <c r="O87" s="496"/>
      <c r="P87" s="496"/>
      <c r="Q87" s="496"/>
      <c r="R87" s="496"/>
      <c r="S87" s="496"/>
      <c r="T87" s="496"/>
      <c r="U87" s="503"/>
      <c r="V87" s="548">
        <v>30000000</v>
      </c>
      <c r="W87" s="548">
        <v>30000000</v>
      </c>
      <c r="X87" s="548">
        <v>30000000</v>
      </c>
      <c r="Y87" s="646"/>
      <c r="Z87" s="497"/>
      <c r="AA87" s="498"/>
    </row>
    <row r="88" spans="1:30" ht="35.1" customHeight="1" x14ac:dyDescent="0.25">
      <c r="A88" s="17" t="str">
        <f>AA88</f>
        <v>Dinas Sosial</v>
      </c>
      <c r="B88" s="5" t="s">
        <v>166</v>
      </c>
      <c r="C88" s="551" t="s">
        <v>139</v>
      </c>
      <c r="D88" s="551" t="s">
        <v>154</v>
      </c>
      <c r="E88" s="551" t="s">
        <v>153</v>
      </c>
      <c r="F88" s="551"/>
      <c r="G88" s="551"/>
      <c r="H88" s="565" t="s">
        <v>105</v>
      </c>
      <c r="I88" s="567"/>
      <c r="J88" s="558"/>
      <c r="K88" s="568"/>
      <c r="L88" s="567"/>
      <c r="M88" s="558"/>
      <c r="N88" s="568"/>
      <c r="O88" s="566"/>
      <c r="P88" s="557"/>
      <c r="Q88" s="566"/>
      <c r="R88" s="566"/>
      <c r="S88" s="557"/>
      <c r="T88" s="566"/>
      <c r="U88" s="558"/>
      <c r="V88" s="559">
        <f>V89+V96</f>
        <v>522906900</v>
      </c>
      <c r="W88" s="559">
        <f t="shared" ref="W88:X88" si="35">W89+W96</f>
        <v>520819400</v>
      </c>
      <c r="X88" s="559">
        <f t="shared" si="35"/>
        <v>1421405900</v>
      </c>
      <c r="Y88" s="644">
        <f t="shared" si="20"/>
        <v>900586500</v>
      </c>
      <c r="Z88" s="564"/>
      <c r="AA88" s="18" t="s">
        <v>167</v>
      </c>
    </row>
    <row r="89" spans="1:30" ht="31.5" x14ac:dyDescent="0.25">
      <c r="B89" s="5" t="s">
        <v>166</v>
      </c>
      <c r="C89" s="569">
        <v>1</v>
      </c>
      <c r="D89" s="569">
        <v>6</v>
      </c>
      <c r="E89" s="569">
        <v>5</v>
      </c>
      <c r="F89" s="570" t="s">
        <v>141</v>
      </c>
      <c r="G89" s="569"/>
      <c r="H89" s="571" t="s">
        <v>107</v>
      </c>
      <c r="I89" s="572"/>
      <c r="J89" s="573"/>
      <c r="K89" s="573"/>
      <c r="L89" s="572"/>
      <c r="M89" s="573"/>
      <c r="N89" s="573"/>
      <c r="O89" s="574"/>
      <c r="P89" s="575"/>
      <c r="Q89" s="575"/>
      <c r="R89" s="574"/>
      <c r="S89" s="575"/>
      <c r="T89" s="575"/>
      <c r="U89" s="572"/>
      <c r="V89" s="576">
        <f>V90+V92+V94</f>
        <v>148207000</v>
      </c>
      <c r="W89" s="576">
        <f t="shared" ref="W89:X89" si="36">W90+W92+W94</f>
        <v>148207000</v>
      </c>
      <c r="X89" s="576">
        <f t="shared" si="36"/>
        <v>148207000</v>
      </c>
      <c r="Y89" s="645">
        <f t="shared" si="20"/>
        <v>0</v>
      </c>
      <c r="Z89" s="577"/>
      <c r="AA89" s="18" t="s">
        <v>167</v>
      </c>
    </row>
    <row r="90" spans="1:30" ht="72" customHeight="1" x14ac:dyDescent="0.25">
      <c r="B90" s="9" t="s">
        <v>166</v>
      </c>
      <c r="C90" s="10">
        <v>1</v>
      </c>
      <c r="D90" s="10">
        <v>6</v>
      </c>
      <c r="E90" s="10">
        <v>5</v>
      </c>
      <c r="F90" s="11" t="s">
        <v>141</v>
      </c>
      <c r="G90" s="20" t="s">
        <v>140</v>
      </c>
      <c r="H90" s="26" t="s">
        <v>108</v>
      </c>
      <c r="I90" s="28" t="s">
        <v>106</v>
      </c>
      <c r="J90" s="28" t="s">
        <v>374</v>
      </c>
      <c r="K90" s="479" t="s">
        <v>109</v>
      </c>
      <c r="L90" s="28" t="s">
        <v>106</v>
      </c>
      <c r="M90" s="28" t="s">
        <v>374</v>
      </c>
      <c r="N90" s="479" t="s">
        <v>109</v>
      </c>
      <c r="O90" s="539">
        <v>1.01E-2</v>
      </c>
      <c r="P90" s="539">
        <v>0.33329999999999999</v>
      </c>
      <c r="Q90" s="14" t="s">
        <v>170</v>
      </c>
      <c r="R90" s="539">
        <v>1.01E-2</v>
      </c>
      <c r="S90" s="539">
        <v>0.33329999999999999</v>
      </c>
      <c r="T90" s="14" t="s">
        <v>170</v>
      </c>
      <c r="U90" s="28" t="s">
        <v>383</v>
      </c>
      <c r="V90" s="547">
        <f>V91</f>
        <v>21541000</v>
      </c>
      <c r="W90" s="547">
        <f t="shared" ref="W90:X90" si="37">W91</f>
        <v>21541000</v>
      </c>
      <c r="X90" s="547">
        <f t="shared" si="37"/>
        <v>21541000</v>
      </c>
      <c r="Y90" s="646"/>
      <c r="Z90" s="12"/>
      <c r="AA90" s="18" t="s">
        <v>167</v>
      </c>
      <c r="AD90" s="17" t="e">
        <f>VLOOKUP(AA90&amp;H90,#REF!,9,FALSE)</f>
        <v>#REF!</v>
      </c>
    </row>
    <row r="91" spans="1:30" s="490" customFormat="1" ht="27" customHeight="1" x14ac:dyDescent="0.25">
      <c r="B91" s="469"/>
      <c r="C91" s="491"/>
      <c r="D91" s="491"/>
      <c r="E91" s="491"/>
      <c r="F91" s="492"/>
      <c r="G91" s="513"/>
      <c r="H91" s="470" t="s">
        <v>108</v>
      </c>
      <c r="I91" s="503"/>
      <c r="J91" s="503"/>
      <c r="K91" s="505"/>
      <c r="L91" s="503"/>
      <c r="M91" s="503"/>
      <c r="N91" s="505"/>
      <c r="O91" s="496"/>
      <c r="P91" s="496"/>
      <c r="Q91" s="496"/>
      <c r="R91" s="496"/>
      <c r="S91" s="496"/>
      <c r="T91" s="496"/>
      <c r="U91" s="496"/>
      <c r="V91" s="548">
        <v>21541000</v>
      </c>
      <c r="W91" s="548">
        <v>21541000</v>
      </c>
      <c r="X91" s="548">
        <v>21541000</v>
      </c>
      <c r="Y91" s="646"/>
      <c r="Z91" s="497"/>
      <c r="AA91" s="498"/>
    </row>
    <row r="92" spans="1:30" ht="70.5" customHeight="1" x14ac:dyDescent="0.25">
      <c r="B92" s="9" t="s">
        <v>166</v>
      </c>
      <c r="C92" s="10">
        <v>1</v>
      </c>
      <c r="D92" s="10">
        <v>6</v>
      </c>
      <c r="E92" s="10">
        <v>5</v>
      </c>
      <c r="F92" s="11" t="s">
        <v>141</v>
      </c>
      <c r="G92" s="10">
        <v>2</v>
      </c>
      <c r="H92" s="26" t="s">
        <v>110</v>
      </c>
      <c r="I92" s="28" t="s">
        <v>106</v>
      </c>
      <c r="J92" s="28" t="s">
        <v>374</v>
      </c>
      <c r="K92" s="479" t="s">
        <v>111</v>
      </c>
      <c r="L92" s="28" t="s">
        <v>106</v>
      </c>
      <c r="M92" s="28" t="s">
        <v>374</v>
      </c>
      <c r="N92" s="479" t="s">
        <v>111</v>
      </c>
      <c r="O92" s="539">
        <v>1.01E-2</v>
      </c>
      <c r="P92" s="539">
        <v>0.33329999999999999</v>
      </c>
      <c r="Q92" s="14" t="s">
        <v>171</v>
      </c>
      <c r="R92" s="539">
        <v>1.01E-2</v>
      </c>
      <c r="S92" s="539">
        <v>0.33329999999999999</v>
      </c>
      <c r="T92" s="14" t="s">
        <v>171</v>
      </c>
      <c r="U92" s="28" t="s">
        <v>383</v>
      </c>
      <c r="V92" s="547">
        <f>V93</f>
        <v>11666000</v>
      </c>
      <c r="W92" s="547">
        <f t="shared" ref="W92:X92" si="38">W93</f>
        <v>11666000</v>
      </c>
      <c r="X92" s="547">
        <f t="shared" si="38"/>
        <v>11666000</v>
      </c>
      <c r="Y92" s="646"/>
      <c r="Z92" s="12"/>
      <c r="AA92" s="18" t="s">
        <v>167</v>
      </c>
      <c r="AD92" s="17" t="e">
        <f>VLOOKUP(AA92&amp;H92,#REF!,9,FALSE)</f>
        <v>#REF!</v>
      </c>
    </row>
    <row r="93" spans="1:30" s="490" customFormat="1" ht="29.25" customHeight="1" x14ac:dyDescent="0.25">
      <c r="B93" s="469"/>
      <c r="C93" s="491"/>
      <c r="D93" s="491"/>
      <c r="E93" s="491"/>
      <c r="F93" s="492"/>
      <c r="G93" s="491"/>
      <c r="H93" s="470" t="s">
        <v>110</v>
      </c>
      <c r="I93" s="503"/>
      <c r="J93" s="503"/>
      <c r="K93" s="505"/>
      <c r="L93" s="503"/>
      <c r="M93" s="503"/>
      <c r="N93" s="505"/>
      <c r="O93" s="496"/>
      <c r="P93" s="496"/>
      <c r="Q93" s="496"/>
      <c r="R93" s="496"/>
      <c r="S93" s="496"/>
      <c r="T93" s="496"/>
      <c r="U93" s="496"/>
      <c r="V93" s="548">
        <v>11666000</v>
      </c>
      <c r="W93" s="548">
        <v>11666000</v>
      </c>
      <c r="X93" s="548">
        <v>11666000</v>
      </c>
      <c r="Y93" s="646"/>
      <c r="Z93" s="497"/>
      <c r="AA93" s="498"/>
    </row>
    <row r="94" spans="1:30" ht="74.25" customHeight="1" x14ac:dyDescent="0.25">
      <c r="B94" s="9" t="s">
        <v>166</v>
      </c>
      <c r="C94" s="10" t="s">
        <v>139</v>
      </c>
      <c r="D94" s="10" t="s">
        <v>154</v>
      </c>
      <c r="E94" s="10" t="s">
        <v>153</v>
      </c>
      <c r="F94" s="11" t="s">
        <v>141</v>
      </c>
      <c r="G94" s="10" t="s">
        <v>156</v>
      </c>
      <c r="H94" s="26" t="s">
        <v>112</v>
      </c>
      <c r="I94" s="28" t="s">
        <v>106</v>
      </c>
      <c r="J94" s="28" t="s">
        <v>374</v>
      </c>
      <c r="K94" s="479" t="s">
        <v>113</v>
      </c>
      <c r="L94" s="28" t="s">
        <v>106</v>
      </c>
      <c r="M94" s="28" t="s">
        <v>374</v>
      </c>
      <c r="N94" s="479" t="s">
        <v>113</v>
      </c>
      <c r="O94" s="539">
        <v>1.01E-2</v>
      </c>
      <c r="P94" s="539">
        <v>0.33329999999999999</v>
      </c>
      <c r="Q94" s="14" t="s">
        <v>171</v>
      </c>
      <c r="R94" s="539">
        <v>1.01E-2</v>
      </c>
      <c r="S94" s="539">
        <v>0.33329999999999999</v>
      </c>
      <c r="T94" s="14" t="s">
        <v>171</v>
      </c>
      <c r="U94" s="28" t="s">
        <v>383</v>
      </c>
      <c r="V94" s="547">
        <f>V95</f>
        <v>115000000</v>
      </c>
      <c r="W94" s="547">
        <f t="shared" ref="W94:X94" si="39">W95</f>
        <v>115000000</v>
      </c>
      <c r="X94" s="547">
        <f t="shared" si="39"/>
        <v>115000000</v>
      </c>
      <c r="Y94" s="646"/>
      <c r="Z94" s="12"/>
      <c r="AA94" s="18" t="s">
        <v>167</v>
      </c>
      <c r="AD94" s="17" t="e">
        <f>VLOOKUP(AA94&amp;H94,#REF!,9,FALSE)</f>
        <v>#REF!</v>
      </c>
    </row>
    <row r="95" spans="1:30" s="490" customFormat="1" ht="40.5" customHeight="1" x14ac:dyDescent="0.25">
      <c r="B95" s="469"/>
      <c r="C95" s="491"/>
      <c r="D95" s="491"/>
      <c r="E95" s="491"/>
      <c r="F95" s="492"/>
      <c r="G95" s="491"/>
      <c r="H95" s="470" t="s">
        <v>112</v>
      </c>
      <c r="I95" s="503"/>
      <c r="J95" s="503"/>
      <c r="K95" s="505"/>
      <c r="L95" s="503"/>
      <c r="M95" s="503"/>
      <c r="N95" s="505"/>
      <c r="O95" s="496"/>
      <c r="P95" s="496"/>
      <c r="Q95" s="496"/>
      <c r="R95" s="496"/>
      <c r="S95" s="496"/>
      <c r="T95" s="496"/>
      <c r="U95" s="496"/>
      <c r="V95" s="548">
        <v>115000000</v>
      </c>
      <c r="W95" s="548">
        <v>115000000</v>
      </c>
      <c r="X95" s="548">
        <v>115000000</v>
      </c>
      <c r="Y95" s="646"/>
      <c r="Z95" s="497"/>
      <c r="AA95" s="498"/>
    </row>
    <row r="96" spans="1:30" ht="31.5" x14ac:dyDescent="0.25">
      <c r="B96" s="5" t="s">
        <v>166</v>
      </c>
      <c r="C96" s="569" t="s">
        <v>139</v>
      </c>
      <c r="D96" s="569" t="s">
        <v>154</v>
      </c>
      <c r="E96" s="569" t="s">
        <v>153</v>
      </c>
      <c r="F96" s="570" t="s">
        <v>147</v>
      </c>
      <c r="G96" s="569"/>
      <c r="H96" s="571" t="s">
        <v>115</v>
      </c>
      <c r="I96" s="572"/>
      <c r="J96" s="573"/>
      <c r="K96" s="573"/>
      <c r="L96" s="572"/>
      <c r="M96" s="573"/>
      <c r="N96" s="573"/>
      <c r="O96" s="574"/>
      <c r="P96" s="575"/>
      <c r="Q96" s="575"/>
      <c r="R96" s="574"/>
      <c r="S96" s="575"/>
      <c r="T96" s="575"/>
      <c r="U96" s="574"/>
      <c r="V96" s="583">
        <f>V97+V100</f>
        <v>374699900</v>
      </c>
      <c r="W96" s="583">
        <f t="shared" ref="W96:X96" si="40">W97+W100</f>
        <v>372612400</v>
      </c>
      <c r="X96" s="583">
        <f t="shared" si="40"/>
        <v>1273198900</v>
      </c>
      <c r="Y96" s="645">
        <f t="shared" si="20"/>
        <v>900586500</v>
      </c>
      <c r="Z96" s="577"/>
      <c r="AA96" s="18" t="s">
        <v>167</v>
      </c>
    </row>
    <row r="97" spans="1:30" ht="63" x14ac:dyDescent="0.25">
      <c r="B97" s="9" t="s">
        <v>166</v>
      </c>
      <c r="C97" s="10" t="s">
        <v>139</v>
      </c>
      <c r="D97" s="10" t="s">
        <v>154</v>
      </c>
      <c r="E97" s="10" t="s">
        <v>153</v>
      </c>
      <c r="F97" s="10" t="s">
        <v>147</v>
      </c>
      <c r="G97" s="20" t="s">
        <v>149</v>
      </c>
      <c r="H97" s="473" t="s">
        <v>115</v>
      </c>
      <c r="I97" s="28" t="s">
        <v>114</v>
      </c>
      <c r="J97" s="28" t="s">
        <v>375</v>
      </c>
      <c r="K97" s="479" t="s">
        <v>118</v>
      </c>
      <c r="L97" s="28" t="s">
        <v>114</v>
      </c>
      <c r="M97" s="28" t="s">
        <v>375</v>
      </c>
      <c r="N97" s="479" t="s">
        <v>118</v>
      </c>
      <c r="O97" s="539">
        <v>3.3E-3</v>
      </c>
      <c r="P97" s="529">
        <v>0.25</v>
      </c>
      <c r="Q97" s="14" t="s">
        <v>172</v>
      </c>
      <c r="R97" s="539">
        <v>3.3E-3</v>
      </c>
      <c r="S97" s="529">
        <v>0.25</v>
      </c>
      <c r="T97" s="14" t="s">
        <v>172</v>
      </c>
      <c r="U97" s="28" t="s">
        <v>383</v>
      </c>
      <c r="V97" s="547">
        <f>V98+V99</f>
        <v>150000000</v>
      </c>
      <c r="W97" s="547">
        <f t="shared" ref="W97:X97" si="41">W98+W99</f>
        <v>147912500</v>
      </c>
      <c r="X97" s="547">
        <f t="shared" si="41"/>
        <v>258223000</v>
      </c>
      <c r="Y97" s="646">
        <f t="shared" si="20"/>
        <v>110310500</v>
      </c>
      <c r="Z97" s="12"/>
      <c r="AA97" s="18" t="s">
        <v>167</v>
      </c>
      <c r="AD97" s="17" t="e">
        <f>VLOOKUP(AA97&amp;H97,#REF!,9,FALSE)</f>
        <v>#REF!</v>
      </c>
    </row>
    <row r="98" spans="1:30" s="490" customFormat="1" ht="40.5" customHeight="1" x14ac:dyDescent="0.25">
      <c r="B98" s="469"/>
      <c r="C98" s="491"/>
      <c r="D98" s="491"/>
      <c r="E98" s="491"/>
      <c r="F98" s="491"/>
      <c r="G98" s="491"/>
      <c r="H98" s="520" t="s">
        <v>115</v>
      </c>
      <c r="I98" s="503"/>
      <c r="J98" s="503"/>
      <c r="K98" s="505"/>
      <c r="L98" s="503"/>
      <c r="M98" s="503"/>
      <c r="N98" s="505"/>
      <c r="O98" s="496"/>
      <c r="P98" s="496"/>
      <c r="Q98" s="496"/>
      <c r="R98" s="496"/>
      <c r="S98" s="496"/>
      <c r="T98" s="496"/>
      <c r="U98" s="496"/>
      <c r="V98" s="548">
        <v>150000000</v>
      </c>
      <c r="W98" s="548">
        <v>147912500</v>
      </c>
      <c r="X98" s="548">
        <v>145223000</v>
      </c>
      <c r="Y98" s="647">
        <f t="shared" si="20"/>
        <v>-2689500</v>
      </c>
      <c r="Z98" s="497"/>
      <c r="AA98" s="498"/>
    </row>
    <row r="99" spans="1:30" s="490" customFormat="1" ht="23.25" customHeight="1" x14ac:dyDescent="0.25">
      <c r="B99" s="469"/>
      <c r="C99" s="491"/>
      <c r="D99" s="491"/>
      <c r="E99" s="491"/>
      <c r="F99" s="491"/>
      <c r="G99" s="491"/>
      <c r="H99" s="540" t="s">
        <v>394</v>
      </c>
      <c r="I99" s="503"/>
      <c r="J99" s="503"/>
      <c r="K99" s="505"/>
      <c r="L99" s="503"/>
      <c r="M99" s="503"/>
      <c r="N99" s="505"/>
      <c r="O99" s="496"/>
      <c r="P99" s="496"/>
      <c r="Q99" s="496"/>
      <c r="R99" s="496"/>
      <c r="S99" s="496"/>
      <c r="T99" s="496"/>
      <c r="U99" s="496"/>
      <c r="V99" s="548"/>
      <c r="W99" s="548"/>
      <c r="X99" s="548">
        <v>113000000</v>
      </c>
      <c r="Y99" s="647">
        <f t="shared" si="20"/>
        <v>113000000</v>
      </c>
      <c r="Z99" s="497"/>
      <c r="AA99" s="498"/>
    </row>
    <row r="100" spans="1:30" ht="105.75" customHeight="1" x14ac:dyDescent="0.25">
      <c r="B100" s="9" t="s">
        <v>166</v>
      </c>
      <c r="C100" s="10" t="s">
        <v>139</v>
      </c>
      <c r="D100" s="10" t="s">
        <v>154</v>
      </c>
      <c r="E100" s="10" t="s">
        <v>153</v>
      </c>
      <c r="F100" s="10" t="s">
        <v>147</v>
      </c>
      <c r="G100" s="20" t="s">
        <v>156</v>
      </c>
      <c r="H100" s="26" t="s">
        <v>333</v>
      </c>
      <c r="I100" s="28" t="s">
        <v>114</v>
      </c>
      <c r="J100" s="28" t="s">
        <v>375</v>
      </c>
      <c r="K100" s="479" t="s">
        <v>334</v>
      </c>
      <c r="L100" s="28" t="s">
        <v>114</v>
      </c>
      <c r="M100" s="28" t="s">
        <v>64</v>
      </c>
      <c r="N100" s="479" t="s">
        <v>334</v>
      </c>
      <c r="O100" s="539">
        <v>3.3E-3</v>
      </c>
      <c r="P100" s="529">
        <v>0.25</v>
      </c>
      <c r="Q100" s="14" t="s">
        <v>179</v>
      </c>
      <c r="R100" s="539">
        <v>3.3E-3</v>
      </c>
      <c r="S100" s="529">
        <v>0.25</v>
      </c>
      <c r="T100" s="14" t="s">
        <v>179</v>
      </c>
      <c r="U100" s="28" t="s">
        <v>383</v>
      </c>
      <c r="V100" s="547">
        <f>SUM(V102:V104)</f>
        <v>224699900</v>
      </c>
      <c r="W100" s="547">
        <f t="shared" ref="W100:X100" si="42">SUM(W102:W104)</f>
        <v>224699900</v>
      </c>
      <c r="X100" s="547">
        <f t="shared" si="42"/>
        <v>1014975900</v>
      </c>
      <c r="Y100" s="646">
        <f t="shared" si="20"/>
        <v>790276000</v>
      </c>
      <c r="Z100" s="12"/>
      <c r="AA100" s="18" t="s">
        <v>167</v>
      </c>
      <c r="AD100" s="17" t="e">
        <f>VLOOKUP(AA100&amp;H100,#REF!,9,FALSE)</f>
        <v>#REF!</v>
      </c>
    </row>
    <row r="101" spans="1:30" ht="142.5" customHeight="1" x14ac:dyDescent="0.25">
      <c r="B101" s="9"/>
      <c r="C101" s="10"/>
      <c r="D101" s="10"/>
      <c r="E101" s="10"/>
      <c r="F101" s="10"/>
      <c r="G101" s="20"/>
      <c r="H101" s="26"/>
      <c r="I101" s="28"/>
      <c r="J101" s="28"/>
      <c r="K101" s="479"/>
      <c r="L101" s="28"/>
      <c r="M101" s="28"/>
      <c r="N101" s="479" t="s">
        <v>378</v>
      </c>
      <c r="O101" s="14"/>
      <c r="P101" s="14"/>
      <c r="Q101" s="14"/>
      <c r="R101" s="14"/>
      <c r="S101" s="14"/>
      <c r="T101" s="14" t="s">
        <v>393</v>
      </c>
      <c r="U101" s="28"/>
      <c r="V101" s="547"/>
      <c r="W101" s="547"/>
      <c r="X101" s="547"/>
      <c r="Y101" s="646"/>
      <c r="Z101" s="12"/>
      <c r="AA101" s="18"/>
    </row>
    <row r="102" spans="1:30" s="490" customFormat="1" ht="36.75" customHeight="1" x14ac:dyDescent="0.25">
      <c r="B102" s="469"/>
      <c r="C102" s="491"/>
      <c r="D102" s="491"/>
      <c r="E102" s="491"/>
      <c r="F102" s="491"/>
      <c r="G102" s="491"/>
      <c r="H102" s="470" t="s">
        <v>333</v>
      </c>
      <c r="I102" s="503"/>
      <c r="J102" s="503"/>
      <c r="K102" s="505"/>
      <c r="L102" s="503"/>
      <c r="M102" s="503"/>
      <c r="N102" s="505"/>
      <c r="O102" s="496"/>
      <c r="P102" s="496"/>
      <c r="Q102" s="496"/>
      <c r="R102" s="496"/>
      <c r="S102" s="496"/>
      <c r="T102" s="496"/>
      <c r="U102" s="503"/>
      <c r="V102" s="548">
        <v>224699900</v>
      </c>
      <c r="W102" s="548">
        <v>224699900</v>
      </c>
      <c r="X102" s="548">
        <v>224699900</v>
      </c>
      <c r="Y102" s="647"/>
      <c r="Z102" s="497"/>
      <c r="AA102" s="498"/>
    </row>
    <row r="103" spans="1:30" s="490" customFormat="1" ht="36.75" customHeight="1" x14ac:dyDescent="0.25">
      <c r="B103" s="469"/>
      <c r="C103" s="491"/>
      <c r="D103" s="491"/>
      <c r="E103" s="491"/>
      <c r="F103" s="491"/>
      <c r="G103" s="491"/>
      <c r="H103" s="470" t="s">
        <v>403</v>
      </c>
      <c r="I103" s="503"/>
      <c r="J103" s="503"/>
      <c r="K103" s="505"/>
      <c r="L103" s="503"/>
      <c r="M103" s="503"/>
      <c r="N103" s="505"/>
      <c r="O103" s="496"/>
      <c r="P103" s="496"/>
      <c r="Q103" s="496"/>
      <c r="R103" s="496"/>
      <c r="S103" s="496"/>
      <c r="T103" s="496"/>
      <c r="U103" s="503"/>
      <c r="V103" s="548"/>
      <c r="W103" s="548"/>
      <c r="X103" s="548">
        <v>411076000</v>
      </c>
      <c r="Y103" s="647">
        <f t="shared" si="20"/>
        <v>411076000</v>
      </c>
      <c r="Z103" s="497"/>
      <c r="AA103" s="498"/>
    </row>
    <row r="104" spans="1:30" s="490" customFormat="1" ht="36.75" customHeight="1" x14ac:dyDescent="0.25">
      <c r="B104" s="469"/>
      <c r="C104" s="491"/>
      <c r="D104" s="491"/>
      <c r="E104" s="491"/>
      <c r="F104" s="491"/>
      <c r="G104" s="491"/>
      <c r="H104" s="470" t="s">
        <v>404</v>
      </c>
      <c r="I104" s="503"/>
      <c r="J104" s="503"/>
      <c r="K104" s="505"/>
      <c r="L104" s="503"/>
      <c r="M104" s="503"/>
      <c r="N104" s="505"/>
      <c r="O104" s="496"/>
      <c r="P104" s="496"/>
      <c r="Q104" s="496"/>
      <c r="R104" s="496"/>
      <c r="S104" s="496"/>
      <c r="T104" s="496"/>
      <c r="U104" s="503"/>
      <c r="V104" s="548"/>
      <c r="W104" s="548"/>
      <c r="X104" s="548">
        <v>379200000</v>
      </c>
      <c r="Y104" s="647">
        <f t="shared" si="20"/>
        <v>379200000</v>
      </c>
      <c r="Z104" s="497"/>
      <c r="AA104" s="498"/>
    </row>
    <row r="105" spans="1:30" ht="35.1" customHeight="1" x14ac:dyDescent="0.25">
      <c r="A105" s="17" t="str">
        <f>AA105</f>
        <v>Dinas Sosial</v>
      </c>
      <c r="B105" s="5" t="s">
        <v>166</v>
      </c>
      <c r="C105" s="551">
        <v>1</v>
      </c>
      <c r="D105" s="551">
        <v>6</v>
      </c>
      <c r="E105" s="551">
        <v>6</v>
      </c>
      <c r="F105" s="551"/>
      <c r="G105" s="551"/>
      <c r="H105" s="565" t="s">
        <v>120</v>
      </c>
      <c r="I105" s="558"/>
      <c r="J105" s="558"/>
      <c r="K105" s="558"/>
      <c r="L105" s="558"/>
      <c r="M105" s="558"/>
      <c r="N105" s="558"/>
      <c r="O105" s="556"/>
      <c r="P105" s="557"/>
      <c r="Q105" s="556"/>
      <c r="R105" s="556"/>
      <c r="S105" s="557"/>
      <c r="T105" s="556"/>
      <c r="U105" s="558"/>
      <c r="V105" s="559">
        <f>V106</f>
        <v>479999750</v>
      </c>
      <c r="W105" s="559">
        <f t="shared" ref="W105:X105" si="43">W106</f>
        <v>479999750</v>
      </c>
      <c r="X105" s="559">
        <f t="shared" si="43"/>
        <v>438978350</v>
      </c>
      <c r="Y105" s="644">
        <f t="shared" si="20"/>
        <v>-41021400</v>
      </c>
      <c r="Z105" s="564"/>
      <c r="AA105" s="18" t="s">
        <v>167</v>
      </c>
    </row>
    <row r="106" spans="1:30" ht="31.5" x14ac:dyDescent="0.25">
      <c r="B106" s="5" t="s">
        <v>166</v>
      </c>
      <c r="C106" s="6" t="s">
        <v>139</v>
      </c>
      <c r="D106" s="6" t="s">
        <v>154</v>
      </c>
      <c r="E106" s="6" t="s">
        <v>154</v>
      </c>
      <c r="F106" s="8" t="s">
        <v>141</v>
      </c>
      <c r="G106" s="6"/>
      <c r="H106" s="471" t="s">
        <v>121</v>
      </c>
      <c r="I106" s="29"/>
      <c r="J106" s="15"/>
      <c r="K106" s="15"/>
      <c r="L106" s="29"/>
      <c r="M106" s="15"/>
      <c r="N106" s="15"/>
      <c r="O106" s="489"/>
      <c r="P106" s="16"/>
      <c r="Q106" s="16"/>
      <c r="R106" s="489"/>
      <c r="S106" s="16"/>
      <c r="T106" s="16"/>
      <c r="U106" s="29"/>
      <c r="V106" s="546">
        <f>V107+V109</f>
        <v>479999750</v>
      </c>
      <c r="W106" s="546">
        <f t="shared" ref="W106:X106" si="44">W107+W109</f>
        <v>479999750</v>
      </c>
      <c r="X106" s="546">
        <f t="shared" si="44"/>
        <v>438978350</v>
      </c>
      <c r="Y106" s="648">
        <f t="shared" si="20"/>
        <v>-41021400</v>
      </c>
      <c r="Z106" s="7"/>
      <c r="AA106" s="18" t="s">
        <v>167</v>
      </c>
    </row>
    <row r="107" spans="1:30" ht="88.5" customHeight="1" x14ac:dyDescent="0.25">
      <c r="B107" s="9" t="s">
        <v>166</v>
      </c>
      <c r="C107" s="10">
        <v>1</v>
      </c>
      <c r="D107" s="10">
        <v>6</v>
      </c>
      <c r="E107" s="10">
        <v>6</v>
      </c>
      <c r="F107" s="11" t="s">
        <v>141</v>
      </c>
      <c r="G107" s="20" t="s">
        <v>140</v>
      </c>
      <c r="H107" s="26" t="s">
        <v>122</v>
      </c>
      <c r="I107" s="30" t="s">
        <v>376</v>
      </c>
      <c r="J107" s="30" t="s">
        <v>377</v>
      </c>
      <c r="K107" s="483" t="s">
        <v>123</v>
      </c>
      <c r="L107" s="30" t="s">
        <v>376</v>
      </c>
      <c r="M107" s="30" t="s">
        <v>377</v>
      </c>
      <c r="N107" s="483" t="s">
        <v>123</v>
      </c>
      <c r="O107" s="538">
        <v>1</v>
      </c>
      <c r="P107" s="538">
        <v>0.5</v>
      </c>
      <c r="Q107" s="31" t="s">
        <v>173</v>
      </c>
      <c r="R107" s="538">
        <v>1</v>
      </c>
      <c r="S107" s="538">
        <v>0.5</v>
      </c>
      <c r="T107" s="31" t="s">
        <v>173</v>
      </c>
      <c r="U107" s="28" t="s">
        <v>383</v>
      </c>
      <c r="V107" s="547">
        <f>V108</f>
        <v>400000000</v>
      </c>
      <c r="W107" s="547">
        <f t="shared" ref="W107:X107" si="45">W108</f>
        <v>400000000</v>
      </c>
      <c r="X107" s="547">
        <f t="shared" si="45"/>
        <v>400000000</v>
      </c>
      <c r="Y107" s="646"/>
      <c r="Z107" s="472"/>
      <c r="AA107" s="18" t="s">
        <v>167</v>
      </c>
      <c r="AD107" s="17" t="e">
        <f>VLOOKUP(AA107&amp;H107,#REF!,9,FALSE)</f>
        <v>#REF!</v>
      </c>
    </row>
    <row r="108" spans="1:30" s="490" customFormat="1" ht="21" customHeight="1" x14ac:dyDescent="0.25">
      <c r="B108" s="502"/>
      <c r="C108" s="491"/>
      <c r="D108" s="491"/>
      <c r="E108" s="491"/>
      <c r="F108" s="492"/>
      <c r="G108" s="513"/>
      <c r="H108" s="470" t="s">
        <v>122</v>
      </c>
      <c r="I108" s="509"/>
      <c r="J108" s="509"/>
      <c r="K108" s="523"/>
      <c r="L108" s="509"/>
      <c r="M108" s="509"/>
      <c r="N108" s="523"/>
      <c r="O108" s="510"/>
      <c r="P108" s="510"/>
      <c r="Q108" s="510"/>
      <c r="R108" s="510"/>
      <c r="S108" s="510"/>
      <c r="T108" s="510"/>
      <c r="U108" s="509"/>
      <c r="V108" s="548">
        <v>400000000</v>
      </c>
      <c r="W108" s="548">
        <v>400000000</v>
      </c>
      <c r="X108" s="548">
        <v>400000000</v>
      </c>
      <c r="Y108" s="647"/>
      <c r="Z108" s="524"/>
      <c r="AA108" s="498"/>
    </row>
    <row r="109" spans="1:30" ht="87.75" customHeight="1" x14ac:dyDescent="0.25">
      <c r="B109" s="468"/>
      <c r="C109" s="488">
        <v>1</v>
      </c>
      <c r="D109" s="488">
        <v>6</v>
      </c>
      <c r="E109" s="488">
        <v>6</v>
      </c>
      <c r="F109" s="515" t="s">
        <v>141</v>
      </c>
      <c r="G109" s="516" t="s">
        <v>153</v>
      </c>
      <c r="H109" s="517" t="s">
        <v>339</v>
      </c>
      <c r="I109" s="30" t="s">
        <v>376</v>
      </c>
      <c r="J109" s="30" t="s">
        <v>377</v>
      </c>
      <c r="K109" s="483" t="s">
        <v>340</v>
      </c>
      <c r="L109" s="30" t="s">
        <v>376</v>
      </c>
      <c r="M109" s="30" t="s">
        <v>377</v>
      </c>
      <c r="N109" s="483" t="s">
        <v>340</v>
      </c>
      <c r="O109" s="538">
        <v>1</v>
      </c>
      <c r="P109" s="538">
        <v>0.5</v>
      </c>
      <c r="Q109" s="31" t="s">
        <v>164</v>
      </c>
      <c r="R109" s="538">
        <v>1</v>
      </c>
      <c r="S109" s="538">
        <v>0.5</v>
      </c>
      <c r="T109" s="31" t="s">
        <v>164</v>
      </c>
      <c r="U109" s="28" t="s">
        <v>383</v>
      </c>
      <c r="V109" s="547">
        <f>V110</f>
        <v>79999750</v>
      </c>
      <c r="W109" s="547">
        <f t="shared" ref="W109:X109" si="46">W110</f>
        <v>79999750</v>
      </c>
      <c r="X109" s="547">
        <f t="shared" si="46"/>
        <v>38978350</v>
      </c>
      <c r="Y109" s="646">
        <f t="shared" si="20"/>
        <v>-41021400</v>
      </c>
      <c r="Z109" s="472"/>
      <c r="AA109" s="18"/>
    </row>
    <row r="110" spans="1:30" s="490" customFormat="1" ht="21.75" customHeight="1" x14ac:dyDescent="0.25">
      <c r="B110" s="518" t="s">
        <v>180</v>
      </c>
      <c r="C110" s="519"/>
      <c r="D110" s="519"/>
      <c r="E110" s="519"/>
      <c r="F110" s="519"/>
      <c r="G110" s="519"/>
      <c r="H110" s="520" t="s">
        <v>339</v>
      </c>
      <c r="I110" s="521"/>
      <c r="J110" s="521"/>
      <c r="K110" s="519"/>
      <c r="L110" s="521"/>
      <c r="M110" s="521"/>
      <c r="N110" s="519"/>
      <c r="O110" s="495"/>
      <c r="P110" s="495"/>
      <c r="Q110" s="495"/>
      <c r="R110" s="495"/>
      <c r="S110" s="495"/>
      <c r="T110" s="495"/>
      <c r="U110" s="531"/>
      <c r="V110" s="541">
        <v>79999750</v>
      </c>
      <c r="W110" s="541">
        <v>79999750</v>
      </c>
      <c r="X110" s="541">
        <v>38978350</v>
      </c>
      <c r="Y110" s="647">
        <f t="shared" si="20"/>
        <v>-41021400</v>
      </c>
      <c r="Z110" s="519"/>
      <c r="AA110" s="522"/>
    </row>
    <row r="111" spans="1:30" ht="47.25" x14ac:dyDescent="0.25">
      <c r="B111" s="21" t="s">
        <v>181</v>
      </c>
      <c r="C111" s="21"/>
      <c r="D111" s="21"/>
      <c r="E111" s="21"/>
      <c r="F111" s="21"/>
      <c r="G111" s="21"/>
      <c r="H111" s="21"/>
      <c r="I111" s="21"/>
      <c r="J111" s="21"/>
      <c r="K111" s="21"/>
      <c r="V111" s="542"/>
      <c r="W111" s="542"/>
      <c r="X111" s="542"/>
      <c r="Y111" s="542"/>
      <c r="Z111" s="21"/>
      <c r="AA111" s="21"/>
    </row>
    <row r="112" spans="1:30" x14ac:dyDescent="0.25">
      <c r="C112" s="17"/>
      <c r="D112" s="17"/>
      <c r="E112" s="17"/>
      <c r="F112" s="17"/>
      <c r="G112" s="17"/>
      <c r="V112" s="549"/>
      <c r="W112" s="549"/>
      <c r="X112" s="549"/>
      <c r="Y112" s="549"/>
      <c r="Z112" s="484"/>
    </row>
    <row r="113" spans="3:26" x14ac:dyDescent="0.25">
      <c r="C113" s="17"/>
      <c r="D113" s="17"/>
      <c r="E113" s="17"/>
      <c r="F113" s="17"/>
      <c r="G113" s="17"/>
      <c r="V113" s="549"/>
      <c r="W113" s="549"/>
      <c r="X113" s="549"/>
      <c r="Y113" s="549"/>
      <c r="Z113" s="474"/>
    </row>
    <row r="114" spans="3:26" x14ac:dyDescent="0.25">
      <c r="V114" s="549"/>
      <c r="W114" s="549"/>
      <c r="X114" s="549"/>
      <c r="Y114" s="549"/>
      <c r="Z114" s="17"/>
    </row>
    <row r="115" spans="3:26" x14ac:dyDescent="0.25">
      <c r="V115" s="549"/>
      <c r="W115" s="549"/>
      <c r="X115" s="549"/>
      <c r="Y115" s="549"/>
      <c r="Z115" s="17"/>
    </row>
    <row r="116" spans="3:26" x14ac:dyDescent="0.25">
      <c r="V116" s="549"/>
      <c r="W116" s="549"/>
      <c r="X116" s="549"/>
      <c r="Y116" s="549"/>
      <c r="Z116" s="474"/>
    </row>
    <row r="117" spans="3:26" x14ac:dyDescent="0.25">
      <c r="H117" s="23"/>
      <c r="I117" s="23"/>
      <c r="J117" s="23"/>
      <c r="K117" s="23"/>
      <c r="L117" s="24"/>
      <c r="M117" s="24"/>
      <c r="N117" s="24"/>
      <c r="O117" s="24"/>
      <c r="P117" s="24"/>
      <c r="Q117" s="24"/>
      <c r="R117" s="24"/>
      <c r="S117" s="24"/>
      <c r="T117" s="24"/>
      <c r="U117" s="533"/>
      <c r="V117" s="549"/>
      <c r="W117" s="549"/>
      <c r="X117" s="549"/>
      <c r="Y117" s="549"/>
      <c r="Z117" s="17"/>
    </row>
    <row r="118" spans="3:26" x14ac:dyDescent="0.25">
      <c r="V118" s="549"/>
      <c r="W118" s="549"/>
      <c r="X118" s="549"/>
      <c r="Y118" s="549"/>
      <c r="Z118" s="17"/>
    </row>
    <row r="119" spans="3:26" x14ac:dyDescent="0.25">
      <c r="V119" s="549"/>
      <c r="W119" s="549"/>
      <c r="X119" s="549"/>
      <c r="Y119" s="549"/>
      <c r="Z119" s="17"/>
    </row>
    <row r="120" spans="3:26" x14ac:dyDescent="0.25">
      <c r="H120" s="23"/>
      <c r="I120" s="23"/>
      <c r="J120" s="23"/>
      <c r="K120" s="23"/>
      <c r="L120" s="24"/>
      <c r="M120" s="24"/>
      <c r="N120" s="24"/>
      <c r="O120" s="24"/>
      <c r="P120" s="24"/>
      <c r="Q120" s="24"/>
      <c r="R120" s="24"/>
      <c r="S120" s="24"/>
      <c r="T120" s="24"/>
      <c r="U120" s="533"/>
      <c r="V120" s="549"/>
      <c r="W120" s="549"/>
      <c r="X120" s="549"/>
      <c r="Y120" s="549"/>
      <c r="Z120" s="17"/>
    </row>
    <row r="121" spans="3:26" x14ac:dyDescent="0.25">
      <c r="V121" s="549"/>
      <c r="W121" s="549"/>
      <c r="X121" s="549"/>
      <c r="Y121" s="549"/>
      <c r="Z121" s="17"/>
    </row>
    <row r="122" spans="3:26" x14ac:dyDescent="0.25">
      <c r="V122" s="549"/>
      <c r="W122" s="549"/>
      <c r="X122" s="549"/>
      <c r="Y122" s="549"/>
      <c r="Z122" s="17"/>
    </row>
    <row r="123" spans="3:26" x14ac:dyDescent="0.25">
      <c r="V123" s="549"/>
      <c r="W123" s="549"/>
      <c r="X123" s="549"/>
      <c r="Y123" s="549"/>
      <c r="Z123" s="17"/>
    </row>
    <row r="124" spans="3:26" x14ac:dyDescent="0.25">
      <c r="V124" s="549"/>
      <c r="W124" s="549"/>
      <c r="X124" s="549"/>
      <c r="Y124" s="549"/>
      <c r="Z124" s="17"/>
    </row>
    <row r="125" spans="3:26" x14ac:dyDescent="0.25">
      <c r="V125" s="549"/>
      <c r="W125" s="549"/>
      <c r="X125" s="549"/>
      <c r="Y125" s="549"/>
      <c r="Z125" s="17"/>
    </row>
    <row r="126" spans="3:26" x14ac:dyDescent="0.25">
      <c r="V126" s="549"/>
      <c r="W126" s="549"/>
      <c r="X126" s="549"/>
      <c r="Y126" s="549"/>
      <c r="Z126" s="17"/>
    </row>
    <row r="127" spans="3:26" x14ac:dyDescent="0.25">
      <c r="V127" s="549"/>
      <c r="W127" s="549"/>
      <c r="X127" s="549"/>
      <c r="Y127" s="549"/>
      <c r="Z127" s="17"/>
    </row>
    <row r="128" spans="3:26" x14ac:dyDescent="0.25">
      <c r="V128" s="549"/>
      <c r="W128" s="549"/>
      <c r="X128" s="549"/>
      <c r="Y128" s="549"/>
      <c r="Z128" s="17"/>
    </row>
    <row r="129" spans="22:26" x14ac:dyDescent="0.25">
      <c r="V129" s="549"/>
      <c r="W129" s="549"/>
      <c r="X129" s="549"/>
      <c r="Y129" s="549"/>
      <c r="Z129" s="17"/>
    </row>
  </sheetData>
  <mergeCells count="15">
    <mergeCell ref="C6:G6"/>
    <mergeCell ref="Y4:Y5"/>
    <mergeCell ref="O4:Q4"/>
    <mergeCell ref="R4:T4"/>
    <mergeCell ref="I4:K4"/>
    <mergeCell ref="L4:N4"/>
    <mergeCell ref="C1:Z1"/>
    <mergeCell ref="C2:Z2"/>
    <mergeCell ref="B4:G5"/>
    <mergeCell ref="H4:H5"/>
    <mergeCell ref="U4:U5"/>
    <mergeCell ref="V4:V5"/>
    <mergeCell ref="Z4:Z5"/>
    <mergeCell ref="W4:W5"/>
    <mergeCell ref="X4:X5"/>
  </mergeCells>
  <printOptions horizontalCentered="1"/>
  <pageMargins left="0.23622047244094491" right="0.23622047244094491" top="1.3385826771653544" bottom="0.55118110236220474" header="0.31496062992125984" footer="0.31496062992125984"/>
  <pageSetup paperSize="14" scale="35" firstPageNumber="22" fitToHeight="0" orientation="landscape" useFirstPageNumber="1" r:id="rId1"/>
  <headerFooter>
    <oddFooter>&amp;L&amp;"Goudy Old Style,Italic"&amp;12Dinas Sosial Kabupaten Cilacap&amp;"Cambria,Italic" &amp;"Cambria,Bold"|&amp;"Cambria,Italic" &amp;"Candara,Regular"Perubahan Renja Tahun 2022&amp;R&amp;"Arial Rounded MT Bold,Regular"&amp;12&amp;P</oddFooter>
  </headerFooter>
  <rowBreaks count="6" manualBreakCount="6">
    <brk id="29" min="1" max="25" man="1"/>
    <brk id="41" min="1" max="25" man="1"/>
    <brk id="60" min="1" max="25" man="1"/>
    <brk id="73" min="1" max="25" man="1"/>
    <brk id="87" min="1" max="25" man="1"/>
    <brk id="104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76D0-3A95-48D2-8A06-26C192DFD62C}">
  <sheetPr>
    <tabColor theme="6"/>
    <pageSetUpPr fitToPage="1"/>
  </sheetPr>
  <dimension ref="A1:AU157"/>
  <sheetViews>
    <sheetView showGridLines="0" tabSelected="1" topLeftCell="A23" zoomScale="80" zoomScaleNormal="80" zoomScaleSheetLayoutView="80" workbookViewId="0">
      <selection activeCell="V43" sqref="V43"/>
    </sheetView>
  </sheetViews>
  <sheetFormatPr defaultColWidth="9.140625" defaultRowHeight="12.75" x14ac:dyDescent="0.25"/>
  <cols>
    <col min="1" max="1" width="6.42578125" style="895" customWidth="1"/>
    <col min="2" max="2" width="22" style="650" customWidth="1"/>
    <col min="3" max="3" width="35.28515625" style="894" hidden="1" customWidth="1"/>
    <col min="4" max="4" width="33.5703125" style="929" customWidth="1"/>
    <col min="5" max="5" width="30.7109375" style="650" customWidth="1"/>
    <col min="6" max="6" width="13.28515625" style="895" hidden="1" customWidth="1"/>
    <col min="7" max="7" width="9.140625" style="899" hidden="1" customWidth="1"/>
    <col min="8" max="8" width="15.42578125" style="900" hidden="1" customWidth="1"/>
    <col min="9" max="9" width="7.85546875" style="899" hidden="1" customWidth="1"/>
    <col min="10" max="10" width="15.42578125" style="900" hidden="1" customWidth="1"/>
    <col min="11" max="11" width="9.5703125" style="899" hidden="1" customWidth="1"/>
    <col min="12" max="12" width="17.28515625" style="906" hidden="1" customWidth="1"/>
    <col min="13" max="13" width="9.140625" style="899"/>
    <col min="14" max="14" width="17.5703125" style="906" customWidth="1"/>
    <col min="15" max="15" width="15.7109375" style="906" hidden="1" customWidth="1"/>
    <col min="16" max="16" width="8.42578125" style="899" customWidth="1"/>
    <col min="17" max="17" width="15.140625" style="900" customWidth="1"/>
    <col min="18" max="18" width="10" style="899" customWidth="1"/>
    <col min="19" max="19" width="17.5703125" style="900" customWidth="1"/>
    <col min="20" max="20" width="9.140625" style="899" customWidth="1"/>
    <col min="21" max="21" width="16.85546875" style="900" customWidth="1"/>
    <col min="22" max="22" width="11.28515625" style="899" bestFit="1" customWidth="1"/>
    <col min="23" max="23" width="15.42578125" style="900" customWidth="1"/>
    <col min="24" max="24" width="11.42578125" style="899" customWidth="1"/>
    <col min="25" max="25" width="17.5703125" style="900" customWidth="1"/>
    <col min="26" max="26" width="13.5703125" style="899" bestFit="1" customWidth="1"/>
    <col min="27" max="27" width="11.28515625" style="900" customWidth="1"/>
    <col min="28" max="28" width="10" style="899" customWidth="1"/>
    <col min="29" max="29" width="16.5703125" style="900" customWidth="1"/>
    <col min="30" max="30" width="10.7109375" style="899" customWidth="1"/>
    <col min="31" max="31" width="9" style="900" customWidth="1"/>
    <col min="32" max="32" width="14.42578125" style="895" customWidth="1"/>
    <col min="33" max="33" width="11.28515625" style="650" customWidth="1"/>
    <col min="34" max="35" width="14.7109375" style="650" hidden="1" customWidth="1"/>
    <col min="36" max="36" width="15.28515625" style="650" hidden="1" customWidth="1"/>
    <col min="37" max="38" width="14.7109375" style="650" hidden="1" customWidth="1"/>
    <col min="39" max="39" width="0" style="650" hidden="1" customWidth="1"/>
    <col min="40" max="40" width="7.7109375" style="650" customWidth="1"/>
    <col min="41" max="42" width="9.140625" style="650"/>
    <col min="43" max="43" width="12.42578125" style="650" customWidth="1"/>
    <col min="44" max="44" width="9.140625" style="650"/>
    <col min="45" max="45" width="14.85546875" style="650" customWidth="1"/>
    <col min="46" max="16384" width="9.140625" style="650"/>
  </cols>
  <sheetData>
    <row r="1" spans="1:41" ht="18" x14ac:dyDescent="0.25">
      <c r="A1" s="1022" t="s">
        <v>409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  <c r="Q1" s="1022"/>
      <c r="R1" s="1022"/>
      <c r="S1" s="1022"/>
      <c r="T1" s="1022"/>
      <c r="U1" s="1022"/>
      <c r="V1" s="1022"/>
      <c r="W1" s="1022"/>
      <c r="X1" s="1022"/>
      <c r="Y1" s="1022"/>
      <c r="Z1" s="1022"/>
      <c r="AA1" s="1022"/>
      <c r="AB1" s="1022"/>
      <c r="AC1" s="1022"/>
      <c r="AD1" s="1022"/>
      <c r="AE1" s="1022"/>
      <c r="AF1" s="1022"/>
    </row>
    <row r="2" spans="1:41" ht="18" x14ac:dyDescent="0.25">
      <c r="A2" s="1022" t="s">
        <v>410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022"/>
      <c r="N2" s="1022"/>
      <c r="O2" s="1022"/>
      <c r="P2" s="1022"/>
      <c r="Q2" s="1022"/>
      <c r="R2" s="1022"/>
      <c r="S2" s="1022"/>
      <c r="T2" s="1022"/>
      <c r="U2" s="1022"/>
      <c r="V2" s="1022"/>
      <c r="W2" s="1022"/>
      <c r="X2" s="1022"/>
      <c r="Y2" s="1022"/>
      <c r="Z2" s="1022"/>
      <c r="AA2" s="1022"/>
      <c r="AB2" s="1022"/>
      <c r="AC2" s="1022"/>
      <c r="AD2" s="1022"/>
      <c r="AE2" s="1022"/>
      <c r="AF2" s="1022"/>
    </row>
    <row r="3" spans="1:41" ht="18" x14ac:dyDescent="0.25">
      <c r="A3" s="651" t="s">
        <v>229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  <c r="Y3" s="651"/>
      <c r="Z3" s="651"/>
      <c r="AA3" s="651"/>
      <c r="AB3" s="651"/>
      <c r="AC3" s="651"/>
      <c r="AD3" s="651"/>
      <c r="AE3" s="651"/>
      <c r="AF3" s="651"/>
    </row>
    <row r="4" spans="1:41" s="654" customFormat="1" ht="22.5" customHeight="1" x14ac:dyDescent="0.25">
      <c r="A4" s="1023" t="s">
        <v>0</v>
      </c>
      <c r="B4" s="1023" t="s">
        <v>126</v>
      </c>
      <c r="C4" s="1023" t="s">
        <v>230</v>
      </c>
      <c r="D4" s="1023" t="s">
        <v>231</v>
      </c>
      <c r="E4" s="1023" t="s">
        <v>1</v>
      </c>
      <c r="F4" s="1023" t="s">
        <v>2</v>
      </c>
      <c r="G4" s="1026" t="s">
        <v>411</v>
      </c>
      <c r="H4" s="1027"/>
      <c r="I4" s="1012" t="s">
        <v>412</v>
      </c>
      <c r="J4" s="1013"/>
      <c r="K4" s="1012" t="s">
        <v>406</v>
      </c>
      <c r="L4" s="1034"/>
      <c r="M4" s="1034"/>
      <c r="N4" s="1034"/>
      <c r="O4" s="1013"/>
      <c r="P4" s="1037" t="s">
        <v>3</v>
      </c>
      <c r="Q4" s="1038"/>
      <c r="R4" s="1038"/>
      <c r="S4" s="1038"/>
      <c r="T4" s="1038"/>
      <c r="U4" s="1038"/>
      <c r="V4" s="1038"/>
      <c r="W4" s="1039"/>
      <c r="X4" s="1012" t="s">
        <v>407</v>
      </c>
      <c r="Y4" s="1013"/>
      <c r="Z4" s="1012" t="s">
        <v>408</v>
      </c>
      <c r="AA4" s="1013"/>
      <c r="AB4" s="1012" t="s">
        <v>413</v>
      </c>
      <c r="AC4" s="1013"/>
      <c r="AD4" s="1020" t="s">
        <v>414</v>
      </c>
      <c r="AE4" s="1020"/>
      <c r="AF4" s="1040" t="s">
        <v>4</v>
      </c>
    </row>
    <row r="5" spans="1:41" s="654" customFormat="1" x14ac:dyDescent="0.25">
      <c r="A5" s="1024"/>
      <c r="B5" s="1024"/>
      <c r="C5" s="1024"/>
      <c r="D5" s="1024"/>
      <c r="E5" s="1024"/>
      <c r="F5" s="1024"/>
      <c r="G5" s="1028"/>
      <c r="H5" s="1029"/>
      <c r="I5" s="1032"/>
      <c r="J5" s="1033"/>
      <c r="K5" s="1032"/>
      <c r="L5" s="1035"/>
      <c r="M5" s="1035"/>
      <c r="N5" s="1035"/>
      <c r="O5" s="1033"/>
      <c r="P5" s="1012" t="s">
        <v>5</v>
      </c>
      <c r="Q5" s="1013"/>
      <c r="R5" s="1012" t="s">
        <v>6</v>
      </c>
      <c r="S5" s="1013"/>
      <c r="T5" s="1012" t="s">
        <v>7</v>
      </c>
      <c r="U5" s="1013"/>
      <c r="V5" s="1016" t="s">
        <v>8</v>
      </c>
      <c r="W5" s="1017"/>
      <c r="X5" s="1032"/>
      <c r="Y5" s="1033"/>
      <c r="Z5" s="1032"/>
      <c r="AA5" s="1033"/>
      <c r="AB5" s="1032"/>
      <c r="AC5" s="1033"/>
      <c r="AD5" s="1020"/>
      <c r="AE5" s="1020"/>
      <c r="AF5" s="1040"/>
    </row>
    <row r="6" spans="1:41" s="654" customFormat="1" ht="58.5" customHeight="1" x14ac:dyDescent="0.25">
      <c r="A6" s="1024"/>
      <c r="B6" s="1024"/>
      <c r="C6" s="1024"/>
      <c r="D6" s="1024"/>
      <c r="E6" s="1024"/>
      <c r="F6" s="1024"/>
      <c r="G6" s="1030"/>
      <c r="H6" s="1031"/>
      <c r="I6" s="1014"/>
      <c r="J6" s="1015"/>
      <c r="K6" s="1014"/>
      <c r="L6" s="1036"/>
      <c r="M6" s="1036"/>
      <c r="N6" s="1036"/>
      <c r="O6" s="1015"/>
      <c r="P6" s="1014"/>
      <c r="Q6" s="1015"/>
      <c r="R6" s="1014"/>
      <c r="S6" s="1015"/>
      <c r="T6" s="1014"/>
      <c r="U6" s="1015"/>
      <c r="V6" s="1018"/>
      <c r="W6" s="1019"/>
      <c r="X6" s="1014"/>
      <c r="Y6" s="1015"/>
      <c r="Z6" s="1014"/>
      <c r="AA6" s="1015"/>
      <c r="AB6" s="1014"/>
      <c r="AC6" s="1015"/>
      <c r="AD6" s="1020"/>
      <c r="AE6" s="1020"/>
      <c r="AF6" s="1040"/>
    </row>
    <row r="7" spans="1:41" s="654" customFormat="1" ht="39" customHeight="1" x14ac:dyDescent="0.25">
      <c r="A7" s="1025"/>
      <c r="B7" s="1025"/>
      <c r="C7" s="1025"/>
      <c r="D7" s="1025"/>
      <c r="E7" s="1025"/>
      <c r="F7" s="1025"/>
      <c r="G7" s="652" t="s">
        <v>9</v>
      </c>
      <c r="H7" s="655" t="s">
        <v>237</v>
      </c>
      <c r="I7" s="652" t="s">
        <v>9</v>
      </c>
      <c r="J7" s="655" t="s">
        <v>237</v>
      </c>
      <c r="K7" s="652" t="s">
        <v>9</v>
      </c>
      <c r="L7" s="656" t="s">
        <v>238</v>
      </c>
      <c r="M7" s="652" t="s">
        <v>9</v>
      </c>
      <c r="N7" s="656" t="s">
        <v>11</v>
      </c>
      <c r="O7" s="656" t="s">
        <v>239</v>
      </c>
      <c r="P7" s="652" t="s">
        <v>9</v>
      </c>
      <c r="Q7" s="655" t="s">
        <v>10</v>
      </c>
      <c r="R7" s="652" t="s">
        <v>9</v>
      </c>
      <c r="S7" s="655" t="s">
        <v>10</v>
      </c>
      <c r="T7" s="652" t="s">
        <v>9</v>
      </c>
      <c r="U7" s="655" t="s">
        <v>10</v>
      </c>
      <c r="V7" s="653" t="s">
        <v>9</v>
      </c>
      <c r="W7" s="657" t="s">
        <v>10</v>
      </c>
      <c r="X7" s="652" t="s">
        <v>9</v>
      </c>
      <c r="Y7" s="655" t="s">
        <v>10</v>
      </c>
      <c r="Z7" s="658" t="s">
        <v>9</v>
      </c>
      <c r="AA7" s="655" t="s">
        <v>10</v>
      </c>
      <c r="AB7" s="652" t="s">
        <v>9</v>
      </c>
      <c r="AC7" s="655" t="s">
        <v>10</v>
      </c>
      <c r="AD7" s="652" t="s">
        <v>9</v>
      </c>
      <c r="AE7" s="655" t="s">
        <v>10</v>
      </c>
      <c r="AF7" s="1040"/>
      <c r="AL7" s="659" t="e">
        <f>#REF!</f>
        <v>#REF!</v>
      </c>
    </row>
    <row r="8" spans="1:41" s="666" customFormat="1" x14ac:dyDescent="0.25">
      <c r="A8" s="660">
        <v>1</v>
      </c>
      <c r="B8" s="660">
        <v>2</v>
      </c>
      <c r="C8" s="661">
        <v>3</v>
      </c>
      <c r="D8" s="662">
        <v>4</v>
      </c>
      <c r="E8" s="662">
        <v>5</v>
      </c>
      <c r="F8" s="663"/>
      <c r="G8" s="1008">
        <v>6</v>
      </c>
      <c r="H8" s="1009"/>
      <c r="I8" s="1008">
        <v>7</v>
      </c>
      <c r="J8" s="1009"/>
      <c r="K8" s="1008">
        <v>8</v>
      </c>
      <c r="L8" s="1021"/>
      <c r="M8" s="1021"/>
      <c r="N8" s="1009"/>
      <c r="O8" s="664"/>
      <c r="P8" s="1008">
        <v>9</v>
      </c>
      <c r="Q8" s="1009"/>
      <c r="R8" s="1008">
        <v>10</v>
      </c>
      <c r="S8" s="1009"/>
      <c r="T8" s="1008">
        <v>11</v>
      </c>
      <c r="U8" s="1009"/>
      <c r="V8" s="1010">
        <v>12</v>
      </c>
      <c r="W8" s="1011"/>
      <c r="X8" s="1008" t="s">
        <v>415</v>
      </c>
      <c r="Y8" s="1009"/>
      <c r="Z8" s="1008" t="s">
        <v>416</v>
      </c>
      <c r="AA8" s="1009"/>
      <c r="AB8" s="1008" t="s">
        <v>240</v>
      </c>
      <c r="AC8" s="1009"/>
      <c r="AD8" s="1006" t="s">
        <v>12</v>
      </c>
      <c r="AE8" s="1006"/>
      <c r="AF8" s="665">
        <v>18</v>
      </c>
      <c r="AH8" s="666">
        <v>2017</v>
      </c>
      <c r="AI8" s="666">
        <v>2018</v>
      </c>
      <c r="AJ8" s="666">
        <v>2019</v>
      </c>
      <c r="AK8" s="666">
        <v>2020</v>
      </c>
    </row>
    <row r="9" spans="1:41" s="681" customFormat="1" ht="55.5" customHeight="1" x14ac:dyDescent="0.25">
      <c r="A9" s="667" t="s">
        <v>5</v>
      </c>
      <c r="B9" s="668" t="s">
        <v>241</v>
      </c>
      <c r="C9" s="669" t="s">
        <v>242</v>
      </c>
      <c r="D9" s="670" t="s">
        <v>13</v>
      </c>
      <c r="E9" s="671" t="s">
        <v>417</v>
      </c>
      <c r="F9" s="672" t="s">
        <v>15</v>
      </c>
      <c r="G9" s="673">
        <v>100</v>
      </c>
      <c r="H9" s="674">
        <f>+H10+H13+H15</f>
        <v>17251000</v>
      </c>
      <c r="I9" s="675">
        <v>100</v>
      </c>
      <c r="J9" s="674"/>
      <c r="K9" s="673">
        <v>100</v>
      </c>
      <c r="L9" s="674">
        <f>+L10+L13+L15</f>
        <v>3818292.7979999995</v>
      </c>
      <c r="M9" s="676">
        <v>100</v>
      </c>
      <c r="N9" s="674">
        <f>N10+N13+N15</f>
        <v>3755852.892</v>
      </c>
      <c r="O9" s="674">
        <f t="shared" ref="O9:U9" si="0">O10+O13+O15</f>
        <v>0</v>
      </c>
      <c r="P9" s="677">
        <v>25</v>
      </c>
      <c r="Q9" s="674">
        <f t="shared" si="0"/>
        <v>630497.87800000003</v>
      </c>
      <c r="R9" s="677">
        <v>25</v>
      </c>
      <c r="S9" s="674">
        <f t="shared" si="0"/>
        <v>1072025.858</v>
      </c>
      <c r="T9" s="677">
        <v>25</v>
      </c>
      <c r="U9" s="674">
        <f t="shared" si="0"/>
        <v>835182.6549999998</v>
      </c>
      <c r="V9" s="678">
        <v>25</v>
      </c>
      <c r="W9" s="674">
        <f t="shared" ref="W9" si="1">W10+W13+W15</f>
        <v>961714.40699999989</v>
      </c>
      <c r="X9" s="677">
        <f>P9+R9+T9+V9</f>
        <v>100</v>
      </c>
      <c r="Y9" s="674">
        <f>Q9+S9+U9+W9</f>
        <v>3499420.7979999995</v>
      </c>
      <c r="Z9" s="677">
        <f>X9/M9*100</f>
        <v>100</v>
      </c>
      <c r="AA9" s="678">
        <f>Y9/N9*100</f>
        <v>93.172467043472253</v>
      </c>
      <c r="AB9" s="677">
        <v>100</v>
      </c>
      <c r="AC9" s="674">
        <f>J9+Y9</f>
        <v>3499420.7979999995</v>
      </c>
      <c r="AD9" s="679">
        <f>AB9/G9*100</f>
        <v>100</v>
      </c>
      <c r="AE9" s="680">
        <f>AC9/H9*100</f>
        <v>20.28532141904817</v>
      </c>
      <c r="AF9" s="667" t="s">
        <v>16</v>
      </c>
      <c r="AH9" s="682">
        <f ca="1">SUM(AH9:AH14)</f>
        <v>1175847</v>
      </c>
      <c r="AI9" s="682">
        <f ca="1">SUM(AI9:AI14)</f>
        <v>2093309</v>
      </c>
      <c r="AJ9" s="682">
        <f ca="1">SUM(AJ9:AJ14)</f>
        <v>1991868.5000000002</v>
      </c>
      <c r="AK9" s="682">
        <f ca="1">SUM(AK9:AK14)</f>
        <v>27601171.324000001</v>
      </c>
      <c r="AL9" s="682">
        <f ca="1">SUM(AH9:AK9)</f>
        <v>32862195.824000001</v>
      </c>
      <c r="AM9" s="683" t="e">
        <f ca="1">AL9-AL7</f>
        <v>#REF!</v>
      </c>
    </row>
    <row r="10" spans="1:41" ht="73.5" customHeight="1" x14ac:dyDescent="0.25">
      <c r="A10" s="684">
        <v>1</v>
      </c>
      <c r="B10" s="685" t="s">
        <v>243</v>
      </c>
      <c r="C10" s="686"/>
      <c r="D10" s="687" t="s">
        <v>17</v>
      </c>
      <c r="E10" s="686" t="s">
        <v>418</v>
      </c>
      <c r="F10" s="684" t="s">
        <v>245</v>
      </c>
      <c r="G10" s="933">
        <f>G11+G12</f>
        <v>12</v>
      </c>
      <c r="H10" s="934">
        <f>H11+H12</f>
        <v>140000</v>
      </c>
      <c r="I10" s="689"/>
      <c r="J10" s="688"/>
      <c r="K10" s="690">
        <f>SUM(K11:K12)</f>
        <v>3</v>
      </c>
      <c r="L10" s="691">
        <f>SUM(L11:L12)</f>
        <v>28732.9</v>
      </c>
      <c r="M10" s="692">
        <f>SUM(M11:M12)</f>
        <v>3</v>
      </c>
      <c r="N10" s="691">
        <f>SUM(N11:N12)</f>
        <v>28732.9</v>
      </c>
      <c r="O10" s="691">
        <f t="shared" ref="O10:W10" si="2">SUM(O11:O12)</f>
        <v>0</v>
      </c>
      <c r="P10" s="693">
        <f t="shared" si="2"/>
        <v>0</v>
      </c>
      <c r="Q10" s="691">
        <f t="shared" si="2"/>
        <v>8482.9</v>
      </c>
      <c r="R10" s="693">
        <f t="shared" si="2"/>
        <v>0</v>
      </c>
      <c r="S10" s="691">
        <f t="shared" si="2"/>
        <v>6150</v>
      </c>
      <c r="T10" s="693">
        <f t="shared" si="2"/>
        <v>2</v>
      </c>
      <c r="U10" s="691">
        <f t="shared" si="2"/>
        <v>7250</v>
      </c>
      <c r="V10" s="693">
        <f t="shared" si="2"/>
        <v>1</v>
      </c>
      <c r="W10" s="691">
        <f t="shared" si="2"/>
        <v>6850</v>
      </c>
      <c r="X10" s="690">
        <f>SUM(X11:X12)</f>
        <v>3</v>
      </c>
      <c r="Y10" s="691">
        <f>SUM(Y11:Y12)</f>
        <v>28732.9</v>
      </c>
      <c r="Z10" s="809">
        <f>SUM(Z11:Z12)</f>
        <v>200</v>
      </c>
      <c r="AA10" s="694">
        <f t="shared" ref="AA10:AA67" si="3">Y10/N10*100</f>
        <v>100</v>
      </c>
      <c r="AB10" s="690"/>
      <c r="AC10" s="695"/>
      <c r="AD10" s="690"/>
      <c r="AE10" s="690"/>
      <c r="AF10" s="690"/>
      <c r="AK10" s="696">
        <f>+'[3]RIIL TW IV PERBAIKAN'!J12+'[3]RIIL TW IV PERBAIKAN'!J20+'[3]RIIL TW IV PERBAIKAN'!J26+'[3]RIIL TW IV PERBAIKAN'!J28+'[3]RIIL TW IV PERBAIKAN'!J64+'[3]RIIL TW IV PERBAIKAN'!Y12+'[3]RIIL TW IV PERBAIKAN'!Y20+'[3]RIIL TW IV PERBAIKAN'!Y26+'[3]RIIL TW IV PERBAIKAN'!Y28+'[3]RIIL TW IV PERBAIKAN'!Y64</f>
        <v>6475271.7800000003</v>
      </c>
      <c r="AL10" s="697">
        <v>6475271.7800000003</v>
      </c>
    </row>
    <row r="11" spans="1:41" ht="46.5" customHeight="1" x14ac:dyDescent="0.25">
      <c r="A11" s="698">
        <v>1</v>
      </c>
      <c r="B11" s="699" t="s">
        <v>184</v>
      </c>
      <c r="C11" s="700" t="s">
        <v>246</v>
      </c>
      <c r="D11" s="701" t="s">
        <v>18</v>
      </c>
      <c r="E11" s="702" t="s">
        <v>419</v>
      </c>
      <c r="F11" s="703" t="s">
        <v>19</v>
      </c>
      <c r="G11" s="709">
        <v>8</v>
      </c>
      <c r="H11" s="706">
        <v>80000</v>
      </c>
      <c r="I11" s="704"/>
      <c r="J11" s="705"/>
      <c r="K11" s="698">
        <v>2</v>
      </c>
      <c r="L11" s="706">
        <v>13733</v>
      </c>
      <c r="M11" s="698">
        <v>2</v>
      </c>
      <c r="N11" s="707">
        <v>13733</v>
      </c>
      <c r="O11" s="708"/>
      <c r="P11" s="698">
        <v>0</v>
      </c>
      <c r="Q11" s="707">
        <v>5283</v>
      </c>
      <c r="R11" s="709">
        <v>0</v>
      </c>
      <c r="S11" s="706">
        <f>10433-Q11</f>
        <v>5150</v>
      </c>
      <c r="T11" s="698">
        <v>2</v>
      </c>
      <c r="U11" s="707">
        <f>12833-Q11-S11</f>
        <v>2400</v>
      </c>
      <c r="V11" s="698">
        <v>0</v>
      </c>
      <c r="W11" s="707">
        <f>13733-Q11-S11-U11</f>
        <v>900</v>
      </c>
      <c r="X11" s="698">
        <f>P11+R11+T11+V11</f>
        <v>2</v>
      </c>
      <c r="Y11" s="707">
        <f>Q11+S11+U11+W11</f>
        <v>13733</v>
      </c>
      <c r="Z11" s="711">
        <f>X11/M11*100</f>
        <v>100</v>
      </c>
      <c r="AA11" s="708">
        <f t="shared" si="3"/>
        <v>100</v>
      </c>
      <c r="AB11" s="712"/>
      <c r="AC11" s="705"/>
      <c r="AD11" s="713"/>
      <c r="AE11" s="714"/>
      <c r="AF11" s="703"/>
    </row>
    <row r="12" spans="1:41" ht="43.5" customHeight="1" x14ac:dyDescent="0.25">
      <c r="A12" s="698">
        <v>2</v>
      </c>
      <c r="B12" s="699" t="s">
        <v>185</v>
      </c>
      <c r="C12" s="700" t="s">
        <v>249</v>
      </c>
      <c r="D12" s="701" t="s">
        <v>20</v>
      </c>
      <c r="E12" s="702" t="s">
        <v>420</v>
      </c>
      <c r="F12" s="703" t="s">
        <v>19</v>
      </c>
      <c r="G12" s="709">
        <v>4</v>
      </c>
      <c r="H12" s="706">
        <v>60000</v>
      </c>
      <c r="I12" s="704"/>
      <c r="J12" s="705"/>
      <c r="K12" s="698">
        <v>1</v>
      </c>
      <c r="L12" s="706">
        <v>14999.9</v>
      </c>
      <c r="M12" s="698">
        <v>1</v>
      </c>
      <c r="N12" s="707">
        <v>14999.9</v>
      </c>
      <c r="O12" s="715"/>
      <c r="P12" s="698">
        <v>0</v>
      </c>
      <c r="Q12" s="707">
        <v>3199.9</v>
      </c>
      <c r="R12" s="709">
        <v>0</v>
      </c>
      <c r="S12" s="706">
        <f>4199.9-Q12</f>
        <v>999.99999999999955</v>
      </c>
      <c r="T12" s="698">
        <v>0</v>
      </c>
      <c r="U12" s="707">
        <f>9049.9-Q12-S12</f>
        <v>4850</v>
      </c>
      <c r="V12" s="698">
        <v>1</v>
      </c>
      <c r="W12" s="707">
        <f>14999.9-Q12-S12-U12</f>
        <v>5950</v>
      </c>
      <c r="X12" s="698">
        <f>P12+R12+T12+V12</f>
        <v>1</v>
      </c>
      <c r="Y12" s="707">
        <f>Q12+S12+U12+W12</f>
        <v>14999.9</v>
      </c>
      <c r="Z12" s="711">
        <f>X12/M12*100</f>
        <v>100</v>
      </c>
      <c r="AA12" s="708">
        <f t="shared" si="3"/>
        <v>100</v>
      </c>
      <c r="AB12" s="712"/>
      <c r="AC12" s="705"/>
      <c r="AD12" s="713"/>
      <c r="AE12" s="714"/>
      <c r="AF12" s="703"/>
    </row>
    <row r="13" spans="1:41" ht="50.25" customHeight="1" x14ac:dyDescent="0.25">
      <c r="A13" s="684">
        <v>2</v>
      </c>
      <c r="B13" s="717" t="s">
        <v>251</v>
      </c>
      <c r="C13" s="718"/>
      <c r="D13" s="687" t="s">
        <v>22</v>
      </c>
      <c r="E13" s="686" t="s">
        <v>421</v>
      </c>
      <c r="F13" s="719" t="s">
        <v>422</v>
      </c>
      <c r="G13" s="935">
        <f>G14</f>
        <v>108</v>
      </c>
      <c r="H13" s="936">
        <f>H14</f>
        <v>14916000</v>
      </c>
      <c r="I13" s="720"/>
      <c r="J13" s="721"/>
      <c r="K13" s="722">
        <v>12</v>
      </c>
      <c r="L13" s="695">
        <f>L14</f>
        <v>3309580.8879999998</v>
      </c>
      <c r="M13" s="690">
        <f>SUM(M14)</f>
        <v>28</v>
      </c>
      <c r="N13" s="691">
        <f>SUM(N14)</f>
        <v>3395295.9819999998</v>
      </c>
      <c r="O13" s="691">
        <f t="shared" ref="O13:W13" si="4">SUM(O14)</f>
        <v>0</v>
      </c>
      <c r="P13" s="693">
        <f t="shared" si="4"/>
        <v>27</v>
      </c>
      <c r="Q13" s="691">
        <f t="shared" si="4"/>
        <v>572441.57799999998</v>
      </c>
      <c r="R13" s="693">
        <f t="shared" si="4"/>
        <v>27</v>
      </c>
      <c r="S13" s="691">
        <f t="shared" si="4"/>
        <v>1012419.429</v>
      </c>
      <c r="T13" s="693">
        <f t="shared" si="4"/>
        <v>27</v>
      </c>
      <c r="U13" s="691">
        <f t="shared" si="4"/>
        <v>675601.21899999981</v>
      </c>
      <c r="V13" s="693">
        <f t="shared" si="4"/>
        <v>28</v>
      </c>
      <c r="W13" s="691">
        <f t="shared" si="4"/>
        <v>880261.61699999985</v>
      </c>
      <c r="X13" s="690">
        <f>X14</f>
        <v>28</v>
      </c>
      <c r="Y13" s="691">
        <f>SUM(Y14)</f>
        <v>3140723.8429999994</v>
      </c>
      <c r="Z13" s="809">
        <f>SUM(Z14)</f>
        <v>100</v>
      </c>
      <c r="AA13" s="694">
        <f t="shared" si="3"/>
        <v>92.50221069533842</v>
      </c>
      <c r="AB13" s="723"/>
      <c r="AC13" s="724"/>
      <c r="AD13" s="725"/>
      <c r="AE13" s="726"/>
      <c r="AF13" s="727"/>
    </row>
    <row r="14" spans="1:41" ht="36" customHeight="1" x14ac:dyDescent="0.25">
      <c r="A14" s="698">
        <v>3</v>
      </c>
      <c r="B14" s="699" t="s">
        <v>253</v>
      </c>
      <c r="C14" s="728"/>
      <c r="D14" s="701" t="s">
        <v>23</v>
      </c>
      <c r="E14" s="702" t="s">
        <v>423</v>
      </c>
      <c r="F14" s="703" t="s">
        <v>424</v>
      </c>
      <c r="G14" s="709">
        <v>108</v>
      </c>
      <c r="H14" s="706">
        <v>14916000</v>
      </c>
      <c r="I14" s="729"/>
      <c r="J14" s="730"/>
      <c r="K14" s="698">
        <v>27</v>
      </c>
      <c r="L14" s="707">
        <v>3309580.8879999998</v>
      </c>
      <c r="M14" s="698">
        <v>28</v>
      </c>
      <c r="N14" s="707">
        <v>3395295.9819999998</v>
      </c>
      <c r="O14" s="707"/>
      <c r="P14" s="698">
        <v>27</v>
      </c>
      <c r="Q14" s="707">
        <v>572441.57799999998</v>
      </c>
      <c r="R14" s="709">
        <v>27</v>
      </c>
      <c r="S14" s="706">
        <f>1584861.007-Q14</f>
        <v>1012419.429</v>
      </c>
      <c r="T14" s="709">
        <v>27</v>
      </c>
      <c r="U14" s="706">
        <f>2260462.226-Q14-S14</f>
        <v>675601.21899999981</v>
      </c>
      <c r="V14" s="698">
        <v>28</v>
      </c>
      <c r="W14" s="707">
        <f>3140723.843-Q14-S14-U14</f>
        <v>880261.61699999985</v>
      </c>
      <c r="X14" s="698">
        <v>28</v>
      </c>
      <c r="Y14" s="707">
        <f>Q14+S14+U14+W14</f>
        <v>3140723.8429999994</v>
      </c>
      <c r="Z14" s="711">
        <f>X14/M14*100</f>
        <v>100</v>
      </c>
      <c r="AA14" s="708">
        <f t="shared" si="3"/>
        <v>92.50221069533842</v>
      </c>
      <c r="AB14" s="731"/>
      <c r="AC14" s="705"/>
      <c r="AD14" s="732"/>
      <c r="AE14" s="714"/>
      <c r="AF14" s="703"/>
    </row>
    <row r="15" spans="1:41" s="681" customFormat="1" ht="52.5" customHeight="1" x14ac:dyDescent="0.25">
      <c r="A15" s="684">
        <v>3</v>
      </c>
      <c r="B15" s="733" t="s">
        <v>281</v>
      </c>
      <c r="C15" s="734"/>
      <c r="D15" s="687" t="s">
        <v>52</v>
      </c>
      <c r="E15" s="686" t="s">
        <v>282</v>
      </c>
      <c r="F15" s="684" t="s">
        <v>277</v>
      </c>
      <c r="G15" s="937">
        <f>SUM(G16:G19)</f>
        <v>569</v>
      </c>
      <c r="H15" s="934">
        <f>SUM(H16:H19)</f>
        <v>2195000</v>
      </c>
      <c r="I15" s="735"/>
      <c r="J15" s="736"/>
      <c r="K15" s="692">
        <f t="shared" ref="K15:M15" si="5">SUM(K16:K19)</f>
        <v>140</v>
      </c>
      <c r="L15" s="691">
        <f t="shared" si="5"/>
        <v>479979.01</v>
      </c>
      <c r="M15" s="692">
        <f t="shared" si="5"/>
        <v>140</v>
      </c>
      <c r="N15" s="691">
        <f>SUM(N16:N19)</f>
        <v>331824.01</v>
      </c>
      <c r="O15" s="691">
        <f t="shared" ref="O15:W15" si="6">SUM(O16:O19)</f>
        <v>0</v>
      </c>
      <c r="P15" s="693">
        <f t="shared" si="6"/>
        <v>24</v>
      </c>
      <c r="Q15" s="691">
        <f t="shared" si="6"/>
        <v>49573.4</v>
      </c>
      <c r="R15" s="693">
        <f t="shared" si="6"/>
        <v>29</v>
      </c>
      <c r="S15" s="691">
        <f t="shared" si="6"/>
        <v>53456.428999999996</v>
      </c>
      <c r="T15" s="693">
        <f t="shared" si="6"/>
        <v>26</v>
      </c>
      <c r="U15" s="691">
        <f t="shared" si="6"/>
        <v>152331.43599999999</v>
      </c>
      <c r="V15" s="693">
        <f t="shared" si="6"/>
        <v>61</v>
      </c>
      <c r="W15" s="691">
        <f t="shared" si="6"/>
        <v>74602.790000000008</v>
      </c>
      <c r="X15" s="692">
        <f>SUM(X16:X19)</f>
        <v>140</v>
      </c>
      <c r="Y15" s="691">
        <f>SUM(Y16:Y19)</f>
        <v>329964.05499999999</v>
      </c>
      <c r="Z15" s="737">
        <f>SUM(Z16:Z19)</f>
        <v>400</v>
      </c>
      <c r="AA15" s="694">
        <f t="shared" si="3"/>
        <v>99.439475461706337</v>
      </c>
      <c r="AB15" s="738">
        <f t="shared" ref="AB15" si="7">I15+X15</f>
        <v>140</v>
      </c>
      <c r="AC15" s="739"/>
      <c r="AD15" s="740"/>
      <c r="AE15" s="741"/>
      <c r="AF15" s="684"/>
    </row>
    <row r="16" spans="1:41" ht="76.5" customHeight="1" x14ac:dyDescent="0.25">
      <c r="A16" s="698">
        <v>4</v>
      </c>
      <c r="B16" s="699" t="s">
        <v>192</v>
      </c>
      <c r="C16" s="742" t="s">
        <v>283</v>
      </c>
      <c r="D16" s="701" t="s">
        <v>53</v>
      </c>
      <c r="E16" s="702" t="s">
        <v>425</v>
      </c>
      <c r="F16" s="743" t="s">
        <v>89</v>
      </c>
      <c r="G16" s="709">
        <f>21</f>
        <v>21</v>
      </c>
      <c r="H16" s="706">
        <v>860000</v>
      </c>
      <c r="I16" s="704"/>
      <c r="J16" s="705"/>
      <c r="K16" s="698">
        <v>20</v>
      </c>
      <c r="L16" s="707">
        <v>194916.51</v>
      </c>
      <c r="M16" s="698">
        <v>20</v>
      </c>
      <c r="N16" s="707">
        <v>184916.51</v>
      </c>
      <c r="O16" s="708"/>
      <c r="P16" s="698">
        <f>3+2+5</f>
        <v>10</v>
      </c>
      <c r="Q16" s="707">
        <v>39188.400000000001</v>
      </c>
      <c r="R16" s="709">
        <f>2+1+1</f>
        <v>4</v>
      </c>
      <c r="S16" s="706">
        <f>82129.829-Q16</f>
        <v>42941.428999999996</v>
      </c>
      <c r="T16" s="698">
        <f>2+0+3</f>
        <v>5</v>
      </c>
      <c r="U16" s="707">
        <f>129119.635-Q16-S16</f>
        <v>46989.80599999999</v>
      </c>
      <c r="V16" s="698">
        <v>1</v>
      </c>
      <c r="W16" s="707">
        <f>184470.61-Q16-S16-U16</f>
        <v>55350.974999999999</v>
      </c>
      <c r="X16" s="698">
        <f t="shared" ref="X16:Y19" si="8">P16+R16+T16+V16</f>
        <v>20</v>
      </c>
      <c r="Y16" s="706">
        <f t="shared" si="8"/>
        <v>184470.61</v>
      </c>
      <c r="Z16" s="711">
        <f>X16/M16*100</f>
        <v>100</v>
      </c>
      <c r="AA16" s="708">
        <f t="shared" si="3"/>
        <v>99.758864149015125</v>
      </c>
      <c r="AB16" s="712"/>
      <c r="AC16" s="705"/>
      <c r="AD16" s="732"/>
      <c r="AE16" s="705"/>
      <c r="AF16" s="703"/>
      <c r="AO16" s="650">
        <f>145/6</f>
        <v>24.166666666666668</v>
      </c>
    </row>
    <row r="17" spans="1:41" ht="51.75" customHeight="1" x14ac:dyDescent="0.25">
      <c r="A17" s="698">
        <v>5</v>
      </c>
      <c r="B17" s="699" t="s">
        <v>426</v>
      </c>
      <c r="C17" s="742"/>
      <c r="D17" s="701" t="s">
        <v>427</v>
      </c>
      <c r="E17" s="702" t="s">
        <v>428</v>
      </c>
      <c r="F17" s="743" t="s">
        <v>89</v>
      </c>
      <c r="G17" s="709">
        <v>101</v>
      </c>
      <c r="H17" s="706">
        <v>215000</v>
      </c>
      <c r="I17" s="704"/>
      <c r="J17" s="705"/>
      <c r="K17" s="698">
        <v>52</v>
      </c>
      <c r="L17" s="707">
        <v>63153</v>
      </c>
      <c r="M17" s="698">
        <v>52</v>
      </c>
      <c r="N17" s="707">
        <v>40000</v>
      </c>
      <c r="O17" s="708"/>
      <c r="P17" s="698">
        <f>0+2+8</f>
        <v>10</v>
      </c>
      <c r="Q17" s="707">
        <v>6875</v>
      </c>
      <c r="R17" s="709">
        <f>8+4+13</f>
        <v>25</v>
      </c>
      <c r="S17" s="706">
        <f>17390-Q17</f>
        <v>10515</v>
      </c>
      <c r="T17" s="710">
        <f>7+3+7</f>
        <v>17</v>
      </c>
      <c r="U17" s="707">
        <f>26131-Q17-S17</f>
        <v>8741</v>
      </c>
      <c r="V17" s="698">
        <v>0</v>
      </c>
      <c r="W17" s="707">
        <f>40000-Q17-S17-U17</f>
        <v>13869</v>
      </c>
      <c r="X17" s="698">
        <f t="shared" si="8"/>
        <v>52</v>
      </c>
      <c r="Y17" s="706">
        <f t="shared" si="8"/>
        <v>40000</v>
      </c>
      <c r="Z17" s="711">
        <f>X17/M17*100</f>
        <v>100</v>
      </c>
      <c r="AA17" s="708">
        <f t="shared" si="3"/>
        <v>100</v>
      </c>
      <c r="AB17" s="712"/>
      <c r="AC17" s="705"/>
      <c r="AD17" s="732"/>
      <c r="AE17" s="705"/>
      <c r="AF17" s="703"/>
    </row>
    <row r="18" spans="1:41" ht="46.5" customHeight="1" x14ac:dyDescent="0.25">
      <c r="A18" s="698">
        <v>6</v>
      </c>
      <c r="B18" s="699" t="s">
        <v>193</v>
      </c>
      <c r="C18" s="742" t="s">
        <v>285</v>
      </c>
      <c r="D18" s="701" t="s">
        <v>54</v>
      </c>
      <c r="E18" s="702" t="s">
        <v>429</v>
      </c>
      <c r="F18" s="743" t="s">
        <v>89</v>
      </c>
      <c r="G18" s="709">
        <v>4</v>
      </c>
      <c r="H18" s="706">
        <v>905000</v>
      </c>
      <c r="I18" s="704"/>
      <c r="J18" s="705"/>
      <c r="K18" s="698">
        <v>3</v>
      </c>
      <c r="L18" s="707">
        <v>198072</v>
      </c>
      <c r="M18" s="698">
        <v>3</v>
      </c>
      <c r="N18" s="707">
        <v>94320</v>
      </c>
      <c r="O18" s="708"/>
      <c r="P18" s="698">
        <f>0+0+0</f>
        <v>0</v>
      </c>
      <c r="Q18" s="707">
        <f>0+0+0</f>
        <v>0</v>
      </c>
      <c r="R18" s="709">
        <f>0</f>
        <v>0</v>
      </c>
      <c r="S18" s="706">
        <v>0</v>
      </c>
      <c r="T18" s="698">
        <v>3</v>
      </c>
      <c r="U18" s="707">
        <f>92905.945-Q18-S18</f>
        <v>92905.945000000007</v>
      </c>
      <c r="V18" s="698">
        <v>0</v>
      </c>
      <c r="W18" s="707">
        <f>92905.945-Q18-S18-U18</f>
        <v>0</v>
      </c>
      <c r="X18" s="698">
        <f t="shared" si="8"/>
        <v>3</v>
      </c>
      <c r="Y18" s="706">
        <f t="shared" si="8"/>
        <v>92905.945000000007</v>
      </c>
      <c r="Z18" s="711">
        <f>X18/M18*100</f>
        <v>100</v>
      </c>
      <c r="AA18" s="708">
        <f t="shared" si="3"/>
        <v>98.500789864291789</v>
      </c>
      <c r="AB18" s="712"/>
      <c r="AC18" s="705"/>
      <c r="AD18" s="732"/>
      <c r="AE18" s="714"/>
      <c r="AF18" s="703"/>
      <c r="AO18" s="650">
        <f>234/12</f>
        <v>19.5</v>
      </c>
    </row>
    <row r="19" spans="1:41" ht="59.25" customHeight="1" x14ac:dyDescent="0.25">
      <c r="A19" s="698">
        <v>7</v>
      </c>
      <c r="B19" s="699" t="s">
        <v>194</v>
      </c>
      <c r="C19" s="742" t="s">
        <v>288</v>
      </c>
      <c r="D19" s="701" t="s">
        <v>55</v>
      </c>
      <c r="E19" s="702" t="s">
        <v>430</v>
      </c>
      <c r="F19" s="743" t="s">
        <v>89</v>
      </c>
      <c r="G19" s="709">
        <v>443</v>
      </c>
      <c r="H19" s="706">
        <v>215000</v>
      </c>
      <c r="I19" s="704"/>
      <c r="J19" s="705"/>
      <c r="K19" s="698">
        <v>65</v>
      </c>
      <c r="L19" s="707">
        <v>23837.5</v>
      </c>
      <c r="M19" s="698">
        <f>15+44+6</f>
        <v>65</v>
      </c>
      <c r="N19" s="707">
        <v>12587.5</v>
      </c>
      <c r="O19" s="710"/>
      <c r="P19" s="710">
        <f>0+0+4</f>
        <v>4</v>
      </c>
      <c r="Q19" s="707">
        <f>0+0+3510</f>
        <v>3510</v>
      </c>
      <c r="R19" s="709">
        <f>0</f>
        <v>0</v>
      </c>
      <c r="S19" s="716">
        <f>3510-Q19</f>
        <v>0</v>
      </c>
      <c r="T19" s="698">
        <v>1</v>
      </c>
      <c r="U19" s="707">
        <f>7204.685-Q19-S19</f>
        <v>3694.6850000000004</v>
      </c>
      <c r="V19" s="698">
        <v>60</v>
      </c>
      <c r="W19" s="707">
        <f>12587.5-Q19-S19-U19</f>
        <v>5382.8149999999996</v>
      </c>
      <c r="X19" s="698">
        <f t="shared" si="8"/>
        <v>65</v>
      </c>
      <c r="Y19" s="706">
        <f t="shared" si="8"/>
        <v>12587.5</v>
      </c>
      <c r="Z19" s="711">
        <f>X19/M19*100</f>
        <v>100</v>
      </c>
      <c r="AA19" s="708">
        <f t="shared" si="3"/>
        <v>100</v>
      </c>
      <c r="AB19" s="712"/>
      <c r="AC19" s="705"/>
      <c r="AD19" s="732"/>
      <c r="AE19" s="714"/>
      <c r="AF19" s="703"/>
    </row>
    <row r="20" spans="1:41" s="681" customFormat="1" ht="68.25" customHeight="1" x14ac:dyDescent="0.25">
      <c r="A20" s="667" t="s">
        <v>5</v>
      </c>
      <c r="B20" s="744">
        <v>4.5844907407407404E-2</v>
      </c>
      <c r="C20" s="745" t="s">
        <v>275</v>
      </c>
      <c r="D20" s="670" t="s">
        <v>13</v>
      </c>
      <c r="E20" s="671" t="s">
        <v>431</v>
      </c>
      <c r="F20" s="672" t="s">
        <v>15</v>
      </c>
      <c r="G20" s="806">
        <v>100</v>
      </c>
      <c r="H20" s="803">
        <f>+H21+H24+H29</f>
        <v>6537000</v>
      </c>
      <c r="I20" s="746">
        <v>100</v>
      </c>
      <c r="J20" s="674"/>
      <c r="K20" s="747">
        <v>100</v>
      </c>
      <c r="L20" s="674">
        <f>L21</f>
        <v>55000</v>
      </c>
      <c r="M20" s="676">
        <v>100</v>
      </c>
      <c r="N20" s="674">
        <f t="shared" ref="N20:U20" si="9">N21+N24+N29</f>
        <v>1312765.6099999999</v>
      </c>
      <c r="O20" s="674">
        <f t="shared" si="9"/>
        <v>0</v>
      </c>
      <c r="P20" s="678">
        <v>25</v>
      </c>
      <c r="Q20" s="674">
        <f t="shared" si="9"/>
        <v>237393.73800000001</v>
      </c>
      <c r="R20" s="678">
        <v>25</v>
      </c>
      <c r="S20" s="674">
        <f t="shared" si="9"/>
        <v>364204.50699999998</v>
      </c>
      <c r="T20" s="678">
        <v>25</v>
      </c>
      <c r="U20" s="674">
        <f t="shared" si="9"/>
        <v>349448.06400000001</v>
      </c>
      <c r="V20" s="678">
        <v>25</v>
      </c>
      <c r="W20" s="674">
        <f t="shared" ref="W20" si="10">W21+W24+W29</f>
        <v>325425.94200000004</v>
      </c>
      <c r="X20" s="677">
        <f>P20+R20+T20+V20</f>
        <v>100</v>
      </c>
      <c r="Y20" s="674">
        <f>Q20+S20+U20+W20</f>
        <v>1276472.2510000002</v>
      </c>
      <c r="Z20" s="677">
        <f>X20/M20*100</f>
        <v>100</v>
      </c>
      <c r="AA20" s="678">
        <f t="shared" si="3"/>
        <v>97.235351175904157</v>
      </c>
      <c r="AB20" s="677">
        <v>100</v>
      </c>
      <c r="AC20" s="674">
        <f>J20+Y20</f>
        <v>1276472.2510000002</v>
      </c>
      <c r="AD20" s="748">
        <f>AB20/G20*100</f>
        <v>100</v>
      </c>
      <c r="AE20" s="680">
        <f>AC20/H20*100</f>
        <v>19.526881612360413</v>
      </c>
      <c r="AF20" s="667" t="s">
        <v>16</v>
      </c>
      <c r="AH20" s="749"/>
      <c r="AI20" s="750">
        <v>22500</v>
      </c>
      <c r="AJ20" s="750">
        <v>25000</v>
      </c>
      <c r="AK20" s="749">
        <v>0</v>
      </c>
    </row>
    <row r="21" spans="1:41" ht="72.75" customHeight="1" x14ac:dyDescent="0.25">
      <c r="A21" s="684">
        <v>4</v>
      </c>
      <c r="B21" s="733" t="s">
        <v>432</v>
      </c>
      <c r="C21" s="734"/>
      <c r="D21" s="687" t="s">
        <v>27</v>
      </c>
      <c r="E21" s="686" t="s">
        <v>433</v>
      </c>
      <c r="F21" s="684" t="s">
        <v>256</v>
      </c>
      <c r="G21" s="935">
        <f>G22+G23</f>
        <v>24</v>
      </c>
      <c r="H21" s="936">
        <f>H22+H23</f>
        <v>235000</v>
      </c>
      <c r="I21" s="720"/>
      <c r="J21" s="721"/>
      <c r="K21" s="690">
        <f>SUM(K22:K23)</f>
        <v>65</v>
      </c>
      <c r="L21" s="691">
        <f>SUM(L22:L23)</f>
        <v>55000</v>
      </c>
      <c r="M21" s="692">
        <f>SUM(M22:M23)</f>
        <v>65</v>
      </c>
      <c r="N21" s="691">
        <f>SUM(N22:N23)</f>
        <v>55000</v>
      </c>
      <c r="O21" s="691">
        <f t="shared" ref="O21:W21" si="11">SUM(O22:O23)</f>
        <v>0</v>
      </c>
      <c r="P21" s="693">
        <v>0</v>
      </c>
      <c r="Q21" s="691">
        <f t="shared" si="11"/>
        <v>0</v>
      </c>
      <c r="R21" s="693">
        <f t="shared" si="11"/>
        <v>60</v>
      </c>
      <c r="S21" s="691">
        <f t="shared" si="11"/>
        <v>29400</v>
      </c>
      <c r="T21" s="693">
        <f t="shared" si="11"/>
        <v>25</v>
      </c>
      <c r="U21" s="691">
        <f t="shared" si="11"/>
        <v>25000</v>
      </c>
      <c r="V21" s="693">
        <f t="shared" si="11"/>
        <v>0</v>
      </c>
      <c r="W21" s="691">
        <f t="shared" si="11"/>
        <v>0</v>
      </c>
      <c r="X21" s="690">
        <f>SUM(X22:X23)</f>
        <v>85</v>
      </c>
      <c r="Y21" s="691">
        <f>SUM(Y22:Y23)</f>
        <v>54400</v>
      </c>
      <c r="Z21" s="809">
        <f>SUM(Z22:Z23)</f>
        <v>600</v>
      </c>
      <c r="AA21" s="694">
        <f t="shared" si="3"/>
        <v>98.909090909090907</v>
      </c>
      <c r="AB21" s="953">
        <f>I21+X21</f>
        <v>85</v>
      </c>
      <c r="AC21" s="724"/>
      <c r="AD21" s="751"/>
      <c r="AE21" s="726"/>
      <c r="AF21" s="727"/>
    </row>
    <row r="22" spans="1:41" ht="44.25" customHeight="1" x14ac:dyDescent="0.25">
      <c r="A22" s="698">
        <v>8</v>
      </c>
      <c r="B22" s="752" t="s">
        <v>434</v>
      </c>
      <c r="C22" s="742" t="s">
        <v>257</v>
      </c>
      <c r="D22" s="701" t="s">
        <v>28</v>
      </c>
      <c r="E22" s="702" t="s">
        <v>435</v>
      </c>
      <c r="F22" s="703" t="s">
        <v>104</v>
      </c>
      <c r="G22" s="709">
        <v>4</v>
      </c>
      <c r="H22" s="706">
        <v>129000</v>
      </c>
      <c r="I22" s="704"/>
      <c r="J22" s="705"/>
      <c r="K22" s="698">
        <v>60</v>
      </c>
      <c r="L22" s="707">
        <v>30000</v>
      </c>
      <c r="M22" s="698">
        <v>60</v>
      </c>
      <c r="N22" s="707">
        <v>30000</v>
      </c>
      <c r="O22" s="710"/>
      <c r="P22" s="698">
        <v>0</v>
      </c>
      <c r="Q22" s="707">
        <f>0+0+0</f>
        <v>0</v>
      </c>
      <c r="R22" s="709">
        <v>60</v>
      </c>
      <c r="S22" s="706">
        <f>29400-Q22</f>
        <v>29400</v>
      </c>
      <c r="T22" s="698">
        <v>0</v>
      </c>
      <c r="U22" s="707">
        <v>0</v>
      </c>
      <c r="V22" s="698">
        <v>0</v>
      </c>
      <c r="W22" s="707">
        <v>0</v>
      </c>
      <c r="X22" s="698">
        <f>P22+R22+T22+V22</f>
        <v>60</v>
      </c>
      <c r="Y22" s="707">
        <f>Q22+S22+U22+W22</f>
        <v>29400</v>
      </c>
      <c r="Z22" s="711">
        <f t="shared" ref="Z22:Z34" si="12">X22/M22*100</f>
        <v>100</v>
      </c>
      <c r="AA22" s="753">
        <f t="shared" si="3"/>
        <v>98</v>
      </c>
      <c r="AB22" s="954">
        <f>I22+X22</f>
        <v>60</v>
      </c>
      <c r="AC22" s="754"/>
      <c r="AD22" s="755"/>
      <c r="AE22" s="756"/>
      <c r="AF22" s="757"/>
    </row>
    <row r="23" spans="1:41" ht="62.25" customHeight="1" x14ac:dyDescent="0.25">
      <c r="A23" s="698">
        <v>9</v>
      </c>
      <c r="B23" s="752" t="s">
        <v>436</v>
      </c>
      <c r="C23" s="742" t="s">
        <v>259</v>
      </c>
      <c r="D23" s="758" t="s">
        <v>31</v>
      </c>
      <c r="E23" s="759" t="s">
        <v>437</v>
      </c>
      <c r="F23" s="760" t="s">
        <v>33</v>
      </c>
      <c r="G23" s="938">
        <v>20</v>
      </c>
      <c r="H23" s="930">
        <v>106000</v>
      </c>
      <c r="I23" s="762"/>
      <c r="J23" s="761"/>
      <c r="K23" s="763">
        <v>5</v>
      </c>
      <c r="L23" s="764">
        <v>25000</v>
      </c>
      <c r="M23" s="763">
        <v>5</v>
      </c>
      <c r="N23" s="764">
        <v>25000</v>
      </c>
      <c r="O23" s="765"/>
      <c r="P23" s="763">
        <v>0</v>
      </c>
      <c r="Q23" s="707">
        <f>0+0+0</f>
        <v>0</v>
      </c>
      <c r="R23" s="766">
        <v>0</v>
      </c>
      <c r="S23" s="930">
        <v>0</v>
      </c>
      <c r="T23" s="767">
        <v>25</v>
      </c>
      <c r="U23" s="764">
        <v>25000</v>
      </c>
      <c r="V23" s="763">
        <v>0</v>
      </c>
      <c r="W23" s="764">
        <v>0</v>
      </c>
      <c r="X23" s="763">
        <f>P23+R23+T23+V23</f>
        <v>25</v>
      </c>
      <c r="Y23" s="764">
        <f>Q23+S23+U23+W23</f>
        <v>25000</v>
      </c>
      <c r="Z23" s="768">
        <f t="shared" si="12"/>
        <v>500</v>
      </c>
      <c r="AA23" s="769">
        <f t="shared" si="3"/>
        <v>100</v>
      </c>
      <c r="AB23" s="954">
        <f>I23+X23</f>
        <v>25</v>
      </c>
      <c r="AC23" s="705"/>
      <c r="AD23" s="713"/>
      <c r="AE23" s="714"/>
      <c r="AF23" s="703"/>
    </row>
    <row r="24" spans="1:41" s="681" customFormat="1" ht="41.25" customHeight="1" x14ac:dyDescent="0.25">
      <c r="A24" s="684">
        <v>5</v>
      </c>
      <c r="B24" s="733" t="s">
        <v>261</v>
      </c>
      <c r="C24" s="734"/>
      <c r="D24" s="770" t="s">
        <v>35</v>
      </c>
      <c r="E24" s="771" t="s">
        <v>438</v>
      </c>
      <c r="F24" s="772" t="s">
        <v>252</v>
      </c>
      <c r="G24" s="939">
        <v>48</v>
      </c>
      <c r="H24" s="940">
        <f>SUM(H25:H28)</f>
        <v>3382000</v>
      </c>
      <c r="I24" s="773"/>
      <c r="J24" s="774"/>
      <c r="K24" s="775">
        <v>12</v>
      </c>
      <c r="L24" s="776">
        <f>SUM(L25:L28)</f>
        <v>709999.3899999999</v>
      </c>
      <c r="M24" s="777">
        <v>12</v>
      </c>
      <c r="N24" s="776">
        <f t="shared" ref="N24:W24" si="13">SUM(N25:N28)</f>
        <v>658236.19999999995</v>
      </c>
      <c r="O24" s="776">
        <f t="shared" si="13"/>
        <v>0</v>
      </c>
      <c r="P24" s="951">
        <v>3</v>
      </c>
      <c r="Q24" s="776">
        <f t="shared" si="13"/>
        <v>142273.861</v>
      </c>
      <c r="R24" s="951">
        <v>3</v>
      </c>
      <c r="S24" s="776">
        <f t="shared" si="13"/>
        <v>185366.41700000002</v>
      </c>
      <c r="T24" s="951">
        <v>3</v>
      </c>
      <c r="U24" s="776">
        <f t="shared" si="13"/>
        <v>182063.64</v>
      </c>
      <c r="V24" s="951">
        <v>3</v>
      </c>
      <c r="W24" s="776">
        <f t="shared" si="13"/>
        <v>148276.39000000001</v>
      </c>
      <c r="X24" s="778">
        <f t="shared" ref="X24:X33" si="14">P24+R24+T24+V24</f>
        <v>12</v>
      </c>
      <c r="Y24" s="779">
        <f>SUM(Y25:Y28)</f>
        <v>657980.30799999996</v>
      </c>
      <c r="Z24" s="780">
        <f t="shared" si="12"/>
        <v>100</v>
      </c>
      <c r="AA24" s="694">
        <f t="shared" si="3"/>
        <v>99.961124593269105</v>
      </c>
      <c r="AB24" s="781"/>
      <c r="AC24" s="782"/>
      <c r="AD24" s="783"/>
      <c r="AE24" s="784"/>
      <c r="AF24" s="772"/>
    </row>
    <row r="25" spans="1:41" ht="52.5" customHeight="1" x14ac:dyDescent="0.25">
      <c r="A25" s="698">
        <v>10</v>
      </c>
      <c r="B25" s="699" t="s">
        <v>186</v>
      </c>
      <c r="C25" s="742" t="s">
        <v>263</v>
      </c>
      <c r="D25" s="701" t="s">
        <v>36</v>
      </c>
      <c r="E25" s="702" t="s">
        <v>439</v>
      </c>
      <c r="F25" s="785" t="s">
        <v>104</v>
      </c>
      <c r="G25" s="709">
        <v>48</v>
      </c>
      <c r="H25" s="706">
        <v>462000</v>
      </c>
      <c r="I25" s="706"/>
      <c r="J25" s="705"/>
      <c r="K25" s="786">
        <v>12</v>
      </c>
      <c r="L25" s="787">
        <v>99999.79</v>
      </c>
      <c r="M25" s="788">
        <v>12</v>
      </c>
      <c r="N25" s="789">
        <v>96622.7</v>
      </c>
      <c r="O25" s="790"/>
      <c r="P25" s="698">
        <v>3</v>
      </c>
      <c r="Q25" s="707">
        <v>13732.433000000001</v>
      </c>
      <c r="R25" s="709">
        <v>3</v>
      </c>
      <c r="S25" s="706">
        <f>30979.633-Q25</f>
        <v>17247.2</v>
      </c>
      <c r="T25" s="698">
        <v>3</v>
      </c>
      <c r="U25" s="707">
        <f>78756.033-Q25-S25</f>
        <v>47776.399999999994</v>
      </c>
      <c r="V25" s="698">
        <f>1+1+1</f>
        <v>3</v>
      </c>
      <c r="W25" s="707">
        <f>96617.573-Q25-S25-U25</f>
        <v>17861.540000000008</v>
      </c>
      <c r="X25" s="698">
        <f t="shared" si="14"/>
        <v>12</v>
      </c>
      <c r="Y25" s="706">
        <f>Q25+S25+U25+W25</f>
        <v>96617.573000000004</v>
      </c>
      <c r="Z25" s="791">
        <f t="shared" si="12"/>
        <v>100</v>
      </c>
      <c r="AA25" s="792">
        <f t="shared" si="3"/>
        <v>99.994693793487457</v>
      </c>
      <c r="AB25" s="712">
        <f>I25+X25</f>
        <v>12</v>
      </c>
      <c r="AC25" s="705"/>
      <c r="AD25" s="713"/>
      <c r="AE25" s="714"/>
      <c r="AF25" s="703"/>
    </row>
    <row r="26" spans="1:41" ht="65.25" customHeight="1" x14ac:dyDescent="0.25">
      <c r="A26" s="698">
        <v>11</v>
      </c>
      <c r="B26" s="699" t="s">
        <v>187</v>
      </c>
      <c r="C26" s="742" t="s">
        <v>266</v>
      </c>
      <c r="D26" s="758" t="s">
        <v>37</v>
      </c>
      <c r="E26" s="759" t="s">
        <v>440</v>
      </c>
      <c r="F26" s="785" t="s">
        <v>104</v>
      </c>
      <c r="G26" s="766">
        <v>48</v>
      </c>
      <c r="H26" s="930">
        <v>530000</v>
      </c>
      <c r="I26" s="762"/>
      <c r="J26" s="761"/>
      <c r="K26" s="763">
        <v>12</v>
      </c>
      <c r="L26" s="764">
        <v>125000</v>
      </c>
      <c r="M26" s="763">
        <v>12</v>
      </c>
      <c r="N26" s="764">
        <v>121613.5</v>
      </c>
      <c r="O26" s="765"/>
      <c r="P26" s="763">
        <v>3</v>
      </c>
      <c r="Q26" s="764">
        <v>32606.7</v>
      </c>
      <c r="R26" s="766">
        <v>3</v>
      </c>
      <c r="S26" s="930">
        <f>62397.1-Q26</f>
        <v>29790.399999999998</v>
      </c>
      <c r="T26" s="763">
        <v>3</v>
      </c>
      <c r="U26" s="764">
        <f>92295.2-Q26-S26</f>
        <v>29898.100000000002</v>
      </c>
      <c r="V26" s="763">
        <f>1+1+1</f>
        <v>3</v>
      </c>
      <c r="W26" s="764">
        <f>121465.3-Q26-S26-U26</f>
        <v>29170.100000000009</v>
      </c>
      <c r="X26" s="763">
        <f t="shared" si="14"/>
        <v>12</v>
      </c>
      <c r="Y26" s="764">
        <f>Q26+S26+U26+W26</f>
        <v>121465.3</v>
      </c>
      <c r="Z26" s="768">
        <f t="shared" si="12"/>
        <v>100</v>
      </c>
      <c r="AA26" s="708">
        <f t="shared" si="3"/>
        <v>99.878138529028433</v>
      </c>
      <c r="AB26" s="793">
        <f>I26+X26</f>
        <v>12</v>
      </c>
      <c r="AC26" s="761"/>
      <c r="AD26" s="794"/>
      <c r="AE26" s="795"/>
      <c r="AF26" s="760"/>
    </row>
    <row r="27" spans="1:41" ht="50.25" customHeight="1" x14ac:dyDescent="0.25">
      <c r="A27" s="698">
        <v>12</v>
      </c>
      <c r="B27" s="699" t="s">
        <v>188</v>
      </c>
      <c r="C27" s="742" t="s">
        <v>268</v>
      </c>
      <c r="D27" s="701" t="s">
        <v>38</v>
      </c>
      <c r="E27" s="702" t="s">
        <v>441</v>
      </c>
      <c r="F27" s="785" t="s">
        <v>104</v>
      </c>
      <c r="G27" s="709">
        <v>48</v>
      </c>
      <c r="H27" s="706">
        <v>140000</v>
      </c>
      <c r="I27" s="704"/>
      <c r="J27" s="705"/>
      <c r="K27" s="698">
        <v>12</v>
      </c>
      <c r="L27" s="707">
        <v>35000</v>
      </c>
      <c r="M27" s="698">
        <v>12</v>
      </c>
      <c r="N27" s="707">
        <v>30000</v>
      </c>
      <c r="O27" s="710"/>
      <c r="P27" s="698">
        <v>3</v>
      </c>
      <c r="Q27" s="707">
        <v>3840.5</v>
      </c>
      <c r="R27" s="709">
        <v>3</v>
      </c>
      <c r="S27" s="706">
        <f>12906.5-Q27</f>
        <v>9066</v>
      </c>
      <c r="T27" s="698">
        <v>3</v>
      </c>
      <c r="U27" s="707">
        <f>21759.55-Q27-S27</f>
        <v>8853.0499999999993</v>
      </c>
      <c r="V27" s="698">
        <f>1+1+1</f>
        <v>3</v>
      </c>
      <c r="W27" s="707">
        <f>29997.3-Q27-S27-U27</f>
        <v>8237.75</v>
      </c>
      <c r="X27" s="698">
        <f t="shared" si="14"/>
        <v>12</v>
      </c>
      <c r="Y27" s="706">
        <f>Q27+S27+U27+W27</f>
        <v>29997.3</v>
      </c>
      <c r="Z27" s="711">
        <f t="shared" si="12"/>
        <v>100</v>
      </c>
      <c r="AA27" s="708">
        <f t="shared" si="3"/>
        <v>99.991</v>
      </c>
      <c r="AB27" s="712">
        <f>I27+X27</f>
        <v>12</v>
      </c>
      <c r="AC27" s="705"/>
      <c r="AD27" s="732"/>
      <c r="AE27" s="714"/>
      <c r="AF27" s="703"/>
    </row>
    <row r="28" spans="1:41" ht="45" customHeight="1" x14ac:dyDescent="0.25">
      <c r="A28" s="796">
        <v>13</v>
      </c>
      <c r="B28" s="699" t="s">
        <v>189</v>
      </c>
      <c r="C28" s="742" t="s">
        <v>270</v>
      </c>
      <c r="D28" s="701" t="s">
        <v>39</v>
      </c>
      <c r="E28" s="702" t="s">
        <v>442</v>
      </c>
      <c r="F28" s="703" t="s">
        <v>443</v>
      </c>
      <c r="G28" s="709">
        <v>1056</v>
      </c>
      <c r="H28" s="706">
        <v>2250000</v>
      </c>
      <c r="I28" s="704"/>
      <c r="J28" s="705"/>
      <c r="K28" s="698">
        <v>264</v>
      </c>
      <c r="L28" s="707">
        <v>449999.6</v>
      </c>
      <c r="M28" s="698">
        <v>264</v>
      </c>
      <c r="N28" s="707">
        <v>410000</v>
      </c>
      <c r="O28" s="710"/>
      <c r="P28" s="710">
        <f>30+(38+14)+60</f>
        <v>142</v>
      </c>
      <c r="Q28" s="707">
        <v>92094.228000000003</v>
      </c>
      <c r="R28" s="709">
        <f>54+0+77</f>
        <v>131</v>
      </c>
      <c r="S28" s="706">
        <f>221357.045-Q28</f>
        <v>129262.81700000001</v>
      </c>
      <c r="T28" s="698">
        <v>97</v>
      </c>
      <c r="U28" s="707">
        <f>316893.135-Q28-S28</f>
        <v>95536.09</v>
      </c>
      <c r="V28" s="698">
        <f>29+78+21</f>
        <v>128</v>
      </c>
      <c r="W28" s="707">
        <f>409900.135-Q28-S28-U28</f>
        <v>93007</v>
      </c>
      <c r="X28" s="698">
        <f t="shared" si="14"/>
        <v>498</v>
      </c>
      <c r="Y28" s="706">
        <f>Q28+S28+U28+W28</f>
        <v>409900.13500000001</v>
      </c>
      <c r="Z28" s="711">
        <f t="shared" si="12"/>
        <v>188.63636363636365</v>
      </c>
      <c r="AA28" s="708">
        <f t="shared" si="3"/>
        <v>99.975642682926832</v>
      </c>
      <c r="AB28" s="712">
        <f>I28+X28</f>
        <v>498</v>
      </c>
      <c r="AC28" s="705"/>
      <c r="AD28" s="732"/>
      <c r="AE28" s="714"/>
      <c r="AF28" s="703"/>
    </row>
    <row r="29" spans="1:41" s="681" customFormat="1" ht="56.25" customHeight="1" x14ac:dyDescent="0.25">
      <c r="A29" s="684">
        <v>6</v>
      </c>
      <c r="B29" s="948" t="s">
        <v>271</v>
      </c>
      <c r="C29" s="797" t="s">
        <v>260</v>
      </c>
      <c r="D29" s="687" t="s">
        <v>40</v>
      </c>
      <c r="E29" s="686" t="s">
        <v>444</v>
      </c>
      <c r="F29" s="684" t="s">
        <v>252</v>
      </c>
      <c r="G29" s="937">
        <v>48</v>
      </c>
      <c r="H29" s="934">
        <f>H30+H31</f>
        <v>2920000</v>
      </c>
      <c r="I29" s="735"/>
      <c r="J29" s="736"/>
      <c r="K29" s="690">
        <v>12</v>
      </c>
      <c r="L29" s="695">
        <f>SUM(L30:L31)</f>
        <v>637456.31999999995</v>
      </c>
      <c r="M29" s="798">
        <v>12</v>
      </c>
      <c r="N29" s="695">
        <f>SUM(N30:N31)</f>
        <v>599529.40999999992</v>
      </c>
      <c r="O29" s="695">
        <f t="shared" ref="O29:W29" si="15">SUM(O30:O31)</f>
        <v>0</v>
      </c>
      <c r="P29" s="798">
        <v>3</v>
      </c>
      <c r="Q29" s="695">
        <f t="shared" si="15"/>
        <v>95119.876999999993</v>
      </c>
      <c r="R29" s="798">
        <v>3</v>
      </c>
      <c r="S29" s="695">
        <f t="shared" si="15"/>
        <v>149438.09</v>
      </c>
      <c r="T29" s="798">
        <v>3</v>
      </c>
      <c r="U29" s="695">
        <f t="shared" si="15"/>
        <v>142384.424</v>
      </c>
      <c r="V29" s="798">
        <v>3</v>
      </c>
      <c r="W29" s="695">
        <f t="shared" si="15"/>
        <v>177149.55200000003</v>
      </c>
      <c r="X29" s="798">
        <f t="shared" si="14"/>
        <v>12</v>
      </c>
      <c r="Y29" s="695">
        <f>SUM(Y30:Y31)</f>
        <v>564091.94299999997</v>
      </c>
      <c r="Z29" s="780">
        <f t="shared" si="12"/>
        <v>100</v>
      </c>
      <c r="AA29" s="694">
        <f t="shared" si="3"/>
        <v>94.089119497907546</v>
      </c>
      <c r="AB29" s="799"/>
      <c r="AC29" s="724"/>
      <c r="AD29" s="800"/>
      <c r="AE29" s="798"/>
      <c r="AF29" s="684"/>
    </row>
    <row r="30" spans="1:41" ht="51.75" customHeight="1" x14ac:dyDescent="0.25">
      <c r="A30" s="763">
        <v>14</v>
      </c>
      <c r="B30" s="801" t="s">
        <v>190</v>
      </c>
      <c r="C30" s="802" t="s">
        <v>41</v>
      </c>
      <c r="D30" s="701" t="s">
        <v>41</v>
      </c>
      <c r="E30" s="702" t="s">
        <v>445</v>
      </c>
      <c r="F30" s="703" t="s">
        <v>443</v>
      </c>
      <c r="G30" s="709">
        <v>48</v>
      </c>
      <c r="H30" s="706">
        <v>645000</v>
      </c>
      <c r="I30" s="704"/>
      <c r="J30" s="705"/>
      <c r="K30" s="698">
        <v>12</v>
      </c>
      <c r="L30" s="707">
        <v>150000.01999999999</v>
      </c>
      <c r="M30" s="698">
        <v>12</v>
      </c>
      <c r="N30" s="707">
        <v>134933.10999999999</v>
      </c>
      <c r="O30" s="710"/>
      <c r="P30" s="698">
        <v>3</v>
      </c>
      <c r="Q30" s="707">
        <v>25934.446</v>
      </c>
      <c r="R30" s="709">
        <v>3</v>
      </c>
      <c r="S30" s="706">
        <f>55836.597-Q30</f>
        <v>29902.151000000002</v>
      </c>
      <c r="T30" s="698">
        <v>3</v>
      </c>
      <c r="U30" s="707">
        <f>81892.454-Q30-S30</f>
        <v>26055.857</v>
      </c>
      <c r="V30" s="698">
        <f>1+1+1</f>
        <v>3</v>
      </c>
      <c r="W30" s="707">
        <f>114102.996-Q30-S30-U30</f>
        <v>32210.542000000005</v>
      </c>
      <c r="X30" s="698">
        <f t="shared" si="14"/>
        <v>12</v>
      </c>
      <c r="Y30" s="707">
        <f>Q30+S30+U30+W30</f>
        <v>114102.996</v>
      </c>
      <c r="Z30" s="711">
        <f t="shared" si="12"/>
        <v>100</v>
      </c>
      <c r="AA30" s="708">
        <f t="shared" si="3"/>
        <v>84.56263699843575</v>
      </c>
      <c r="AB30" s="712">
        <f>I30+X30</f>
        <v>12</v>
      </c>
      <c r="AC30" s="705"/>
      <c r="AD30" s="732"/>
      <c r="AE30" s="714"/>
      <c r="AF30" s="703"/>
    </row>
    <row r="31" spans="1:41" ht="47.25" customHeight="1" x14ac:dyDescent="0.25">
      <c r="A31" s="763">
        <v>15</v>
      </c>
      <c r="B31" s="801" t="s">
        <v>191</v>
      </c>
      <c r="C31" s="742" t="s">
        <v>274</v>
      </c>
      <c r="D31" s="701" t="s">
        <v>42</v>
      </c>
      <c r="E31" s="702" t="s">
        <v>446</v>
      </c>
      <c r="F31" s="703" t="s">
        <v>443</v>
      </c>
      <c r="G31" s="709">
        <v>48</v>
      </c>
      <c r="H31" s="706">
        <v>2275000</v>
      </c>
      <c r="I31" s="704"/>
      <c r="J31" s="705"/>
      <c r="K31" s="698">
        <v>12</v>
      </c>
      <c r="L31" s="707">
        <v>487456.3</v>
      </c>
      <c r="M31" s="698">
        <v>12</v>
      </c>
      <c r="N31" s="707">
        <v>464596.3</v>
      </c>
      <c r="O31" s="715"/>
      <c r="P31" s="698">
        <v>3</v>
      </c>
      <c r="Q31" s="707">
        <v>69185.430999999997</v>
      </c>
      <c r="R31" s="709">
        <v>3</v>
      </c>
      <c r="S31" s="706">
        <f>188721.37-Q31</f>
        <v>119535.939</v>
      </c>
      <c r="T31" s="698">
        <v>3</v>
      </c>
      <c r="U31" s="707">
        <f>305049.937-Q31-S31</f>
        <v>116328.567</v>
      </c>
      <c r="V31" s="698">
        <f>1+1+1</f>
        <v>3</v>
      </c>
      <c r="W31" s="707">
        <f>449988.947-Q31-S31-U31</f>
        <v>144939.01</v>
      </c>
      <c r="X31" s="698">
        <f t="shared" si="14"/>
        <v>12</v>
      </c>
      <c r="Y31" s="706">
        <f>Q31+S31+U31+W31</f>
        <v>449988.94699999999</v>
      </c>
      <c r="Z31" s="711">
        <f t="shared" si="12"/>
        <v>100</v>
      </c>
      <c r="AA31" s="708">
        <f t="shared" si="3"/>
        <v>96.855904147321013</v>
      </c>
      <c r="AB31" s="712">
        <f>I31+X31</f>
        <v>12</v>
      </c>
      <c r="AC31" s="705"/>
      <c r="AD31" s="732"/>
      <c r="AE31" s="714"/>
      <c r="AF31" s="703"/>
    </row>
    <row r="32" spans="1:41" s="681" customFormat="1" ht="65.25" customHeight="1" x14ac:dyDescent="0.25">
      <c r="A32" s="667" t="s">
        <v>6</v>
      </c>
      <c r="B32" s="744">
        <v>4.5856481481481477E-2</v>
      </c>
      <c r="C32" s="745" t="s">
        <v>290</v>
      </c>
      <c r="D32" s="670" t="s">
        <v>56</v>
      </c>
      <c r="E32" s="671" t="s">
        <v>447</v>
      </c>
      <c r="F32" s="672" t="s">
        <v>15</v>
      </c>
      <c r="G32" s="806">
        <v>100</v>
      </c>
      <c r="H32" s="803">
        <f>+H33</f>
        <v>3298000</v>
      </c>
      <c r="I32" s="804">
        <f>'[4]TW IV FIX'!$AB$40</f>
        <v>100</v>
      </c>
      <c r="J32" s="803"/>
      <c r="K32" s="673">
        <v>15.47</v>
      </c>
      <c r="L32" s="674">
        <f>L33</f>
        <v>962499.95000000007</v>
      </c>
      <c r="M32" s="673">
        <v>15.47</v>
      </c>
      <c r="N32" s="803">
        <f>N33</f>
        <v>1070876.2000000002</v>
      </c>
      <c r="O32" s="803">
        <f t="shared" ref="O32:S32" si="16">O33</f>
        <v>0</v>
      </c>
      <c r="P32" s="805">
        <f>P33/923*100</f>
        <v>13.001083423618635</v>
      </c>
      <c r="Q32" s="803">
        <f t="shared" si="16"/>
        <v>92520.9</v>
      </c>
      <c r="R32" s="805">
        <f>R33/923*100</f>
        <v>33.694474539544963</v>
      </c>
      <c r="S32" s="803">
        <f t="shared" si="16"/>
        <v>282344.8</v>
      </c>
      <c r="T32" s="805">
        <f>+T33/923*100</f>
        <v>5.4171180931744312</v>
      </c>
      <c r="U32" s="803">
        <f>U33</f>
        <v>201366.69999999998</v>
      </c>
      <c r="V32" s="805">
        <f>+V33/923*100</f>
        <v>32.502708559046589</v>
      </c>
      <c r="W32" s="803">
        <f t="shared" ref="W32" si="17">W33</f>
        <v>444499.39999999991</v>
      </c>
      <c r="X32" s="807">
        <f>P32+R32+T32+V32</f>
        <v>84.615384615384613</v>
      </c>
      <c r="Y32" s="803">
        <f>Q32+S32+U32+W32</f>
        <v>1020731.7999999998</v>
      </c>
      <c r="Z32" s="807">
        <f t="shared" si="12"/>
        <v>546.96434786932514</v>
      </c>
      <c r="AA32" s="678">
        <f t="shared" si="3"/>
        <v>95.317441922791787</v>
      </c>
      <c r="AB32" s="807">
        <v>100</v>
      </c>
      <c r="AC32" s="803">
        <f>Y32+J32</f>
        <v>1020731.7999999998</v>
      </c>
      <c r="AD32" s="808">
        <f t="shared" ref="AD32:AE32" si="18">AB32/G32*100</f>
        <v>100</v>
      </c>
      <c r="AE32" s="807">
        <f t="shared" si="18"/>
        <v>30.950024257125524</v>
      </c>
      <c r="AF32" s="667" t="s">
        <v>16</v>
      </c>
    </row>
    <row r="33" spans="1:46" s="681" customFormat="1" ht="49.5" customHeight="1" x14ac:dyDescent="0.25">
      <c r="A33" s="684">
        <v>7</v>
      </c>
      <c r="B33" s="733" t="s">
        <v>291</v>
      </c>
      <c r="C33" s="734"/>
      <c r="D33" s="687" t="s">
        <v>61</v>
      </c>
      <c r="E33" s="686" t="s">
        <v>292</v>
      </c>
      <c r="F33" s="684" t="s">
        <v>256</v>
      </c>
      <c r="G33" s="937">
        <f>SUM(G34:G36)</f>
        <v>1362</v>
      </c>
      <c r="H33" s="934">
        <f>SUM(H34:H36)</f>
        <v>3298000</v>
      </c>
      <c r="I33" s="735"/>
      <c r="J33" s="736"/>
      <c r="K33" s="690">
        <f>SUM(K34:K35)</f>
        <v>324</v>
      </c>
      <c r="L33" s="691">
        <f t="shared" ref="L33:W33" si="19">SUM(L34:L36)</f>
        <v>962499.95000000007</v>
      </c>
      <c r="M33" s="690">
        <f t="shared" si="19"/>
        <v>375</v>
      </c>
      <c r="N33" s="691">
        <f t="shared" si="19"/>
        <v>1070876.2000000002</v>
      </c>
      <c r="O33" s="691">
        <f t="shared" si="19"/>
        <v>0</v>
      </c>
      <c r="P33" s="693">
        <f>24+36+60</f>
        <v>120</v>
      </c>
      <c r="Q33" s="691">
        <f t="shared" si="19"/>
        <v>92520.9</v>
      </c>
      <c r="R33" s="693">
        <f>265+46</f>
        <v>311</v>
      </c>
      <c r="S33" s="691">
        <f t="shared" si="19"/>
        <v>282344.8</v>
      </c>
      <c r="T33" s="693">
        <f>50</f>
        <v>50</v>
      </c>
      <c r="U33" s="691">
        <f t="shared" si="19"/>
        <v>201366.69999999998</v>
      </c>
      <c r="V33" s="693">
        <v>300</v>
      </c>
      <c r="W33" s="691">
        <f t="shared" si="19"/>
        <v>444499.39999999991</v>
      </c>
      <c r="X33" s="690">
        <f t="shared" si="14"/>
        <v>781</v>
      </c>
      <c r="Y33" s="691">
        <f>SUM(Y34:Y36)</f>
        <v>1020731.7999999999</v>
      </c>
      <c r="Z33" s="809">
        <f t="shared" si="12"/>
        <v>208.26666666666668</v>
      </c>
      <c r="AA33" s="694">
        <f t="shared" si="3"/>
        <v>95.317441922791801</v>
      </c>
      <c r="AB33" s="810"/>
      <c r="AC33" s="739"/>
      <c r="AD33" s="811"/>
      <c r="AE33" s="741"/>
      <c r="AF33" s="684"/>
      <c r="AG33" s="681">
        <f>250+24+462+650+250+(12*25)+50+60</f>
        <v>2046</v>
      </c>
      <c r="AO33" s="681" t="e">
        <f>#REF!+M34+M35+#REF!+#REF!+#REF!+#REF!</f>
        <v>#REF!</v>
      </c>
    </row>
    <row r="34" spans="1:46" ht="64.5" customHeight="1" x14ac:dyDescent="0.25">
      <c r="A34" s="698">
        <v>16</v>
      </c>
      <c r="B34" s="699" t="s">
        <v>196</v>
      </c>
      <c r="C34" s="742" t="s">
        <v>294</v>
      </c>
      <c r="D34" s="701" t="s">
        <v>65</v>
      </c>
      <c r="E34" s="702" t="s">
        <v>448</v>
      </c>
      <c r="F34" s="743" t="s">
        <v>33</v>
      </c>
      <c r="G34" s="709">
        <v>24</v>
      </c>
      <c r="H34" s="706">
        <v>1698000</v>
      </c>
      <c r="I34" s="704"/>
      <c r="J34" s="705"/>
      <c r="K34" s="698">
        <v>24</v>
      </c>
      <c r="L34" s="707">
        <v>401659.6</v>
      </c>
      <c r="M34" s="698">
        <v>24</v>
      </c>
      <c r="N34" s="707">
        <v>398013.6</v>
      </c>
      <c r="O34" s="715"/>
      <c r="P34" s="812">
        <v>24</v>
      </c>
      <c r="Q34" s="707">
        <v>64647.5</v>
      </c>
      <c r="R34" s="709">
        <v>24</v>
      </c>
      <c r="S34" s="706">
        <f>155647.5-Q34</f>
        <v>91000</v>
      </c>
      <c r="T34" s="698">
        <v>24</v>
      </c>
      <c r="U34" s="707">
        <f>265552.6-Q34-S34</f>
        <v>109905.09999999998</v>
      </c>
      <c r="V34" s="698">
        <v>24</v>
      </c>
      <c r="W34" s="707">
        <f>392902.6-Q34-S34-U34</f>
        <v>127350</v>
      </c>
      <c r="X34" s="698">
        <v>24</v>
      </c>
      <c r="Y34" s="707">
        <f>Q34+S34+U34+W34</f>
        <v>392902.6</v>
      </c>
      <c r="Z34" s="711">
        <f t="shared" si="12"/>
        <v>100</v>
      </c>
      <c r="AA34" s="708">
        <f t="shared" si="3"/>
        <v>98.715873025444353</v>
      </c>
      <c r="AB34" s="712">
        <f>I34+X34</f>
        <v>24</v>
      </c>
      <c r="AC34" s="705"/>
      <c r="AD34" s="732"/>
      <c r="AE34" s="714"/>
      <c r="AF34" s="703"/>
    </row>
    <row r="35" spans="1:46" ht="63" customHeight="1" x14ac:dyDescent="0.25">
      <c r="A35" s="813">
        <v>17</v>
      </c>
      <c r="B35" s="814" t="s">
        <v>197</v>
      </c>
      <c r="C35" s="815" t="s">
        <v>296</v>
      </c>
      <c r="D35" s="816" t="s">
        <v>67</v>
      </c>
      <c r="E35" s="702" t="s">
        <v>450</v>
      </c>
      <c r="F35" s="743" t="s">
        <v>449</v>
      </c>
      <c r="G35" s="821">
        <v>1200</v>
      </c>
      <c r="H35" s="931">
        <v>800000</v>
      </c>
      <c r="I35" s="817"/>
      <c r="J35" s="754"/>
      <c r="K35" s="818">
        <v>300</v>
      </c>
      <c r="L35" s="819">
        <v>193916.7</v>
      </c>
      <c r="M35" s="818">
        <v>300</v>
      </c>
      <c r="N35" s="707">
        <v>366126.7</v>
      </c>
      <c r="O35" s="820"/>
      <c r="P35" s="796">
        <v>0</v>
      </c>
      <c r="Q35" s="819">
        <v>549.4</v>
      </c>
      <c r="R35" s="821">
        <v>0</v>
      </c>
      <c r="S35" s="931">
        <f>3699.4-Q35</f>
        <v>3150</v>
      </c>
      <c r="T35" s="796">
        <v>0</v>
      </c>
      <c r="U35" s="819">
        <f>55880.2-Q35-S35</f>
        <v>52180.799999999996</v>
      </c>
      <c r="V35" s="796">
        <f>60+263</f>
        <v>323</v>
      </c>
      <c r="W35" s="819">
        <f>338979.6-Q35-S35-U35</f>
        <v>283099.39999999997</v>
      </c>
      <c r="X35" s="796">
        <f>P35+R35+T35+V35</f>
        <v>323</v>
      </c>
      <c r="Y35" s="819">
        <f>Q35+S35+U35+W35</f>
        <v>338979.6</v>
      </c>
      <c r="Z35" s="822">
        <f>X35/M35*100</f>
        <v>107.66666666666667</v>
      </c>
      <c r="AA35" s="823">
        <f t="shared" si="3"/>
        <v>92.585326336484059</v>
      </c>
      <c r="AB35" s="824">
        <f>I35+X35</f>
        <v>323</v>
      </c>
      <c r="AC35" s="825"/>
      <c r="AD35" s="826"/>
      <c r="AE35" s="756"/>
      <c r="AF35" s="827"/>
    </row>
    <row r="36" spans="1:46" ht="73.5" customHeight="1" x14ac:dyDescent="0.25">
      <c r="A36" s="828">
        <v>18</v>
      </c>
      <c r="B36" s="814" t="s">
        <v>198</v>
      </c>
      <c r="C36" s="829" t="s">
        <v>300</v>
      </c>
      <c r="D36" s="816" t="s">
        <v>71</v>
      </c>
      <c r="E36" s="830" t="s">
        <v>451</v>
      </c>
      <c r="F36" s="831" t="s">
        <v>306</v>
      </c>
      <c r="G36" s="821">
        <v>138</v>
      </c>
      <c r="H36" s="931">
        <v>800000</v>
      </c>
      <c r="I36" s="817"/>
      <c r="J36" s="754"/>
      <c r="K36" s="818">
        <v>51</v>
      </c>
      <c r="L36" s="832">
        <v>366923.65</v>
      </c>
      <c r="M36" s="698">
        <v>51</v>
      </c>
      <c r="N36" s="833">
        <v>306735.90000000002</v>
      </c>
      <c r="O36" s="834"/>
      <c r="P36" s="796">
        <v>23</v>
      </c>
      <c r="Q36" s="819">
        <v>27324</v>
      </c>
      <c r="R36" s="821">
        <v>1</v>
      </c>
      <c r="S36" s="835">
        <f>215518.8-Q36</f>
        <v>188194.8</v>
      </c>
      <c r="T36" s="796">
        <f>24+1</f>
        <v>25</v>
      </c>
      <c r="U36" s="819">
        <f>254799.6-Q36-S36</f>
        <v>39280.800000000017</v>
      </c>
      <c r="V36" s="796">
        <v>12</v>
      </c>
      <c r="W36" s="819">
        <f>288849.6-Q36-S36-U36</f>
        <v>34049.999999999971</v>
      </c>
      <c r="X36" s="796">
        <f t="shared" ref="X36:Y37" si="20">P36+R36+T36+V36</f>
        <v>61</v>
      </c>
      <c r="Y36" s="819">
        <f t="shared" si="20"/>
        <v>288849.59999999998</v>
      </c>
      <c r="Z36" s="836">
        <f>X36/M36*100</f>
        <v>119.6078431372549</v>
      </c>
      <c r="AA36" s="837">
        <f t="shared" si="3"/>
        <v>94.168827320179986</v>
      </c>
      <c r="AB36" s="838">
        <f>I36+X36</f>
        <v>61</v>
      </c>
      <c r="AC36" s="754"/>
      <c r="AD36" s="826"/>
      <c r="AE36" s="756"/>
      <c r="AF36" s="757"/>
      <c r="AG36" s="650" t="s">
        <v>60</v>
      </c>
    </row>
    <row r="37" spans="1:46" s="681" customFormat="1" ht="113.25" customHeight="1" x14ac:dyDescent="0.25">
      <c r="A37" s="667" t="s">
        <v>7</v>
      </c>
      <c r="B37" s="744">
        <v>4.5879629629629631E-2</v>
      </c>
      <c r="C37" s="745" t="s">
        <v>307</v>
      </c>
      <c r="D37" s="670" t="s">
        <v>82</v>
      </c>
      <c r="E37" s="671" t="s">
        <v>452</v>
      </c>
      <c r="F37" s="672" t="s">
        <v>15</v>
      </c>
      <c r="G37" s="806">
        <v>100</v>
      </c>
      <c r="H37" s="803">
        <f>+H38</f>
        <v>3315561.5010000002</v>
      </c>
      <c r="I37" s="804">
        <v>100</v>
      </c>
      <c r="J37" s="803"/>
      <c r="K37" s="673">
        <v>100</v>
      </c>
      <c r="L37" s="674">
        <f>L38</f>
        <v>769297.6</v>
      </c>
      <c r="M37" s="673">
        <v>100</v>
      </c>
      <c r="N37" s="839">
        <f>N38</f>
        <v>509006.1</v>
      </c>
      <c r="O37" s="839">
        <f t="shared" ref="O37:W37" si="21">O38</f>
        <v>0</v>
      </c>
      <c r="P37" s="944">
        <v>100</v>
      </c>
      <c r="Q37" s="839">
        <f t="shared" si="21"/>
        <v>0</v>
      </c>
      <c r="R37" s="944">
        <v>100</v>
      </c>
      <c r="S37" s="839">
        <f t="shared" si="21"/>
        <v>300780.098</v>
      </c>
      <c r="T37" s="944">
        <v>100</v>
      </c>
      <c r="U37" s="839">
        <f t="shared" si="21"/>
        <v>63427.011999999988</v>
      </c>
      <c r="V37" s="839">
        <v>100</v>
      </c>
      <c r="W37" s="839">
        <f t="shared" si="21"/>
        <v>122534.712</v>
      </c>
      <c r="X37" s="807">
        <v>100</v>
      </c>
      <c r="Y37" s="803">
        <f t="shared" si="20"/>
        <v>486741.82199999999</v>
      </c>
      <c r="Z37" s="807">
        <f t="shared" ref="Z37:Z47" si="22">X37/M37*100</f>
        <v>100</v>
      </c>
      <c r="AA37" s="678">
        <f t="shared" si="3"/>
        <v>95.625931005541972</v>
      </c>
      <c r="AB37" s="807">
        <f>X37</f>
        <v>100</v>
      </c>
      <c r="AC37" s="803">
        <f>Y37+J37</f>
        <v>486741.82199999999</v>
      </c>
      <c r="AD37" s="808">
        <f t="shared" ref="AD37:AE37" si="23">AB37/G37*100</f>
        <v>100</v>
      </c>
      <c r="AE37" s="805">
        <f t="shared" si="23"/>
        <v>14.680524606561956</v>
      </c>
      <c r="AF37" s="667" t="s">
        <v>16</v>
      </c>
    </row>
    <row r="38" spans="1:46" s="681" customFormat="1" ht="87" customHeight="1" x14ac:dyDescent="0.25">
      <c r="A38" s="772">
        <v>8</v>
      </c>
      <c r="B38" s="733" t="s">
        <v>309</v>
      </c>
      <c r="C38" s="734"/>
      <c r="D38" s="770" t="s">
        <v>86</v>
      </c>
      <c r="E38" s="686" t="s">
        <v>453</v>
      </c>
      <c r="F38" s="840" t="s">
        <v>256</v>
      </c>
      <c r="G38" s="939">
        <f>SUM(G39:G46)</f>
        <v>3840</v>
      </c>
      <c r="H38" s="940">
        <f>SUM(H39:H46)</f>
        <v>3315561.5010000002</v>
      </c>
      <c r="I38" s="773"/>
      <c r="J38" s="774"/>
      <c r="K38" s="690">
        <f>SUM(K39:K46)</f>
        <v>708</v>
      </c>
      <c r="L38" s="691">
        <f>SUM(L39:L46)</f>
        <v>769297.6</v>
      </c>
      <c r="M38" s="690">
        <f>SUM(M39:M46)</f>
        <v>708</v>
      </c>
      <c r="N38" s="691">
        <f>SUM(N39:N46)</f>
        <v>509006.1</v>
      </c>
      <c r="O38" s="691">
        <f t="shared" ref="O38:W38" si="24">SUM(O39:O46)</f>
        <v>0</v>
      </c>
      <c r="P38" s="693">
        <f t="shared" si="24"/>
        <v>170</v>
      </c>
      <c r="Q38" s="691">
        <f t="shared" si="24"/>
        <v>0</v>
      </c>
      <c r="R38" s="693">
        <f t="shared" si="24"/>
        <v>513</v>
      </c>
      <c r="S38" s="691">
        <f t="shared" si="24"/>
        <v>300780.098</v>
      </c>
      <c r="T38" s="693">
        <f t="shared" si="24"/>
        <v>818</v>
      </c>
      <c r="U38" s="691">
        <f t="shared" si="24"/>
        <v>63427.011999999988</v>
      </c>
      <c r="V38" s="693">
        <f t="shared" si="24"/>
        <v>434</v>
      </c>
      <c r="W38" s="691">
        <f t="shared" si="24"/>
        <v>122534.712</v>
      </c>
      <c r="X38" s="690">
        <f>SUM(X39:X46)</f>
        <v>1935</v>
      </c>
      <c r="Y38" s="691">
        <f>SUM(Y39:Y46)</f>
        <v>486741.82199999993</v>
      </c>
      <c r="Z38" s="723">
        <f t="shared" si="22"/>
        <v>273.30508474576271</v>
      </c>
      <c r="AA38" s="694">
        <f t="shared" si="3"/>
        <v>95.625931005541958</v>
      </c>
      <c r="AB38" s="781"/>
      <c r="AC38" s="782"/>
      <c r="AD38" s="841"/>
      <c r="AE38" s="784"/>
      <c r="AF38" s="772"/>
    </row>
    <row r="39" spans="1:46" ht="81.75" customHeight="1" x14ac:dyDescent="0.25">
      <c r="A39" s="842">
        <v>19</v>
      </c>
      <c r="B39" s="699" t="s">
        <v>200</v>
      </c>
      <c r="C39" s="700" t="s">
        <v>311</v>
      </c>
      <c r="D39" s="701" t="s">
        <v>87</v>
      </c>
      <c r="E39" s="702" t="s">
        <v>454</v>
      </c>
      <c r="F39" s="703" t="s">
        <v>33</v>
      </c>
      <c r="G39" s="709">
        <v>1320</v>
      </c>
      <c r="H39" s="706">
        <v>470000</v>
      </c>
      <c r="I39" s="704"/>
      <c r="J39" s="705"/>
      <c r="K39" s="698">
        <v>315</v>
      </c>
      <c r="L39" s="707">
        <v>109948.5</v>
      </c>
      <c r="M39" s="698">
        <f>30+10+20+200+55</f>
        <v>315</v>
      </c>
      <c r="N39" s="707">
        <v>98148</v>
      </c>
      <c r="O39" s="710"/>
      <c r="P39" s="698">
        <f>0+(2+0)+(0+50)</f>
        <v>52</v>
      </c>
      <c r="Q39" s="707">
        <f t="shared" ref="Q39:Q46" si="25">0+0+0</f>
        <v>0</v>
      </c>
      <c r="R39" s="709">
        <f>+(0+2+4)+(0+2+1+2)+(200+1+6)</f>
        <v>218</v>
      </c>
      <c r="S39" s="706">
        <f>48460-Q39</f>
        <v>48460</v>
      </c>
      <c r="T39" s="698">
        <f>(429+30+250+18)-P39-R39</f>
        <v>457</v>
      </c>
      <c r="U39" s="707">
        <f>78780-Q39-S39</f>
        <v>30320</v>
      </c>
      <c r="V39" s="842">
        <f>200+0+20</f>
        <v>220</v>
      </c>
      <c r="W39" s="707">
        <f>94374-Q39-S39-U39</f>
        <v>15594</v>
      </c>
      <c r="X39" s="786">
        <f t="shared" ref="X39:Y47" si="26">P39+R39+T39+V39</f>
        <v>947</v>
      </c>
      <c r="Y39" s="706">
        <f t="shared" si="26"/>
        <v>94374</v>
      </c>
      <c r="Z39" s="711">
        <f t="shared" si="22"/>
        <v>300.6349206349206</v>
      </c>
      <c r="AA39" s="708">
        <f t="shared" si="3"/>
        <v>96.154786648734571</v>
      </c>
      <c r="AB39" s="712">
        <f>I39+X39</f>
        <v>947</v>
      </c>
      <c r="AC39" s="705"/>
      <c r="AD39" s="713"/>
      <c r="AE39" s="713"/>
      <c r="AF39" s="703"/>
      <c r="AG39" s="650">
        <f>5100000/850000</f>
        <v>6</v>
      </c>
    </row>
    <row r="40" spans="1:46" ht="81.75" customHeight="1" x14ac:dyDescent="0.25">
      <c r="A40" s="767">
        <v>20</v>
      </c>
      <c r="B40" s="699" t="s">
        <v>455</v>
      </c>
      <c r="C40" s="700"/>
      <c r="D40" s="701" t="s">
        <v>99</v>
      </c>
      <c r="E40" s="702" t="s">
        <v>456</v>
      </c>
      <c r="F40" s="703" t="s">
        <v>33</v>
      </c>
      <c r="G40" s="709">
        <v>200</v>
      </c>
      <c r="H40" s="706">
        <v>43000</v>
      </c>
      <c r="I40" s="704"/>
      <c r="J40" s="705"/>
      <c r="K40" s="698">
        <v>50</v>
      </c>
      <c r="L40" s="707">
        <v>9925.5</v>
      </c>
      <c r="M40" s="698">
        <v>50</v>
      </c>
      <c r="N40" s="707">
        <v>9925.5</v>
      </c>
      <c r="O40" s="710"/>
      <c r="P40" s="698">
        <f>0+0+0</f>
        <v>0</v>
      </c>
      <c r="Q40" s="707">
        <f t="shared" si="25"/>
        <v>0</v>
      </c>
      <c r="R40" s="709">
        <f>+(8+25+11+0)+(0+20)+(7+29)</f>
        <v>100</v>
      </c>
      <c r="S40" s="930">
        <f>5578-Q40</f>
        <v>5578</v>
      </c>
      <c r="T40" s="763">
        <f>(54+15+11+24)-P40-R40</f>
        <v>4</v>
      </c>
      <c r="U40" s="764">
        <f>9925.5-Q40-S40</f>
        <v>4347.5</v>
      </c>
      <c r="V40" s="767">
        <v>20</v>
      </c>
      <c r="W40" s="764">
        <v>0</v>
      </c>
      <c r="X40" s="786">
        <f t="shared" si="26"/>
        <v>124</v>
      </c>
      <c r="Y40" s="706">
        <f t="shared" si="26"/>
        <v>9925.5</v>
      </c>
      <c r="Z40" s="711">
        <f t="shared" si="22"/>
        <v>248</v>
      </c>
      <c r="AA40" s="708">
        <f t="shared" si="3"/>
        <v>100</v>
      </c>
      <c r="AB40" s="793"/>
      <c r="AC40" s="761"/>
      <c r="AD40" s="794"/>
      <c r="AE40" s="843"/>
      <c r="AF40" s="760"/>
    </row>
    <row r="41" spans="1:46" ht="83.25" customHeight="1" x14ac:dyDescent="0.25">
      <c r="A41" s="767">
        <v>21</v>
      </c>
      <c r="B41" s="699" t="s">
        <v>201</v>
      </c>
      <c r="C41" s="700"/>
      <c r="D41" s="701" t="s">
        <v>88</v>
      </c>
      <c r="E41" s="702" t="s">
        <v>457</v>
      </c>
      <c r="F41" s="703" t="s">
        <v>33</v>
      </c>
      <c r="G41" s="709">
        <v>240</v>
      </c>
      <c r="H41" s="706">
        <v>735000</v>
      </c>
      <c r="I41" s="704"/>
      <c r="J41" s="705"/>
      <c r="K41" s="698">
        <v>38</v>
      </c>
      <c r="L41" s="707">
        <v>163000</v>
      </c>
      <c r="M41" s="698">
        <v>38</v>
      </c>
      <c r="N41" s="707">
        <v>105850</v>
      </c>
      <c r="O41" s="715"/>
      <c r="P41" s="698">
        <f>0+1+4</f>
        <v>5</v>
      </c>
      <c r="Q41" s="707">
        <f t="shared" si="25"/>
        <v>0</v>
      </c>
      <c r="R41" s="709">
        <f>0+0+38</f>
        <v>38</v>
      </c>
      <c r="S41" s="930">
        <f>102210-Q41</f>
        <v>102210</v>
      </c>
      <c r="T41" s="763">
        <f>+(128)-P41-R41</f>
        <v>85</v>
      </c>
      <c r="U41" s="764">
        <f>104335-Q41-S41</f>
        <v>2125</v>
      </c>
      <c r="V41" s="763">
        <f>8+18</f>
        <v>26</v>
      </c>
      <c r="W41" s="764">
        <v>0</v>
      </c>
      <c r="X41" s="786">
        <f t="shared" si="26"/>
        <v>154</v>
      </c>
      <c r="Y41" s="706">
        <f t="shared" si="26"/>
        <v>104335</v>
      </c>
      <c r="Z41" s="711">
        <f t="shared" si="22"/>
        <v>405.26315789473682</v>
      </c>
      <c r="AA41" s="708">
        <f t="shared" si="3"/>
        <v>98.568729333963162</v>
      </c>
      <c r="AB41" s="793">
        <f>I41+X41</f>
        <v>154</v>
      </c>
      <c r="AC41" s="761"/>
      <c r="AD41" s="794"/>
      <c r="AE41" s="843"/>
      <c r="AF41" s="760"/>
    </row>
    <row r="42" spans="1:46" ht="60.75" customHeight="1" x14ac:dyDescent="0.25">
      <c r="A42" s="842">
        <v>22</v>
      </c>
      <c r="B42" s="699" t="s">
        <v>202</v>
      </c>
      <c r="C42" s="844"/>
      <c r="D42" s="701" t="s">
        <v>91</v>
      </c>
      <c r="E42" s="702" t="s">
        <v>458</v>
      </c>
      <c r="F42" s="703" t="s">
        <v>33</v>
      </c>
      <c r="G42" s="709">
        <v>400</v>
      </c>
      <c r="H42" s="706">
        <v>555561.50100000005</v>
      </c>
      <c r="I42" s="704"/>
      <c r="J42" s="705"/>
      <c r="K42" s="698">
        <v>100</v>
      </c>
      <c r="L42" s="707">
        <v>44649</v>
      </c>
      <c r="M42" s="698">
        <v>100</v>
      </c>
      <c r="N42" s="707">
        <v>31549</v>
      </c>
      <c r="O42" s="710"/>
      <c r="P42" s="698">
        <f>+(12+0)+(7+1)+(8+0)</f>
        <v>28</v>
      </c>
      <c r="Q42" s="707">
        <f t="shared" si="25"/>
        <v>0</v>
      </c>
      <c r="R42" s="709">
        <f>+(10+4)+(0+6)+(0+5)</f>
        <v>25</v>
      </c>
      <c r="S42" s="706">
        <f>1000-Q42</f>
        <v>1000</v>
      </c>
      <c r="T42" s="698">
        <f>(18+11+1+62)-P42-R42</f>
        <v>39</v>
      </c>
      <c r="U42" s="707">
        <v>0</v>
      </c>
      <c r="V42" s="698">
        <f>9+49+16+5+6+2+4+1</f>
        <v>92</v>
      </c>
      <c r="W42" s="707">
        <f>31049-Q42-S42-U42</f>
        <v>30049</v>
      </c>
      <c r="X42" s="786">
        <f t="shared" si="26"/>
        <v>184</v>
      </c>
      <c r="Y42" s="706">
        <f t="shared" si="26"/>
        <v>31049</v>
      </c>
      <c r="Z42" s="711">
        <f t="shared" si="22"/>
        <v>184</v>
      </c>
      <c r="AA42" s="708">
        <f t="shared" si="3"/>
        <v>98.415163713588385</v>
      </c>
      <c r="AB42" s="712">
        <f>I42+X42</f>
        <v>184</v>
      </c>
      <c r="AC42" s="705"/>
      <c r="AD42" s="732"/>
      <c r="AE42" s="713"/>
      <c r="AF42" s="703"/>
    </row>
    <row r="43" spans="1:46" ht="78" customHeight="1" x14ac:dyDescent="0.25">
      <c r="A43" s="698">
        <v>23</v>
      </c>
      <c r="B43" s="699" t="s">
        <v>203</v>
      </c>
      <c r="C43" s="700" t="s">
        <v>316</v>
      </c>
      <c r="D43" s="701" t="s">
        <v>92</v>
      </c>
      <c r="E43" s="702" t="s">
        <v>459</v>
      </c>
      <c r="F43" s="703" t="s">
        <v>33</v>
      </c>
      <c r="G43" s="709">
        <v>200</v>
      </c>
      <c r="H43" s="706">
        <v>51000</v>
      </c>
      <c r="I43" s="704"/>
      <c r="J43" s="705"/>
      <c r="K43" s="698">
        <v>10</v>
      </c>
      <c r="L43" s="707">
        <v>96775.3</v>
      </c>
      <c r="M43" s="698">
        <v>10</v>
      </c>
      <c r="N43" s="707">
        <v>26034.3</v>
      </c>
      <c r="O43" s="708"/>
      <c r="P43" s="698">
        <f>0+0+0</f>
        <v>0</v>
      </c>
      <c r="Q43" s="707">
        <f t="shared" si="25"/>
        <v>0</v>
      </c>
      <c r="R43" s="709">
        <v>0</v>
      </c>
      <c r="S43" s="707">
        <f>0+0+0</f>
        <v>0</v>
      </c>
      <c r="T43" s="698">
        <f>(4+11+1+21)</f>
        <v>37</v>
      </c>
      <c r="U43" s="707">
        <v>0</v>
      </c>
      <c r="V43" s="698">
        <v>13</v>
      </c>
      <c r="W43" s="707">
        <f>26034.3-Q43-S43-U43</f>
        <v>26034.3</v>
      </c>
      <c r="X43" s="786">
        <f t="shared" si="26"/>
        <v>50</v>
      </c>
      <c r="Y43" s="706">
        <f t="shared" si="26"/>
        <v>26034.3</v>
      </c>
      <c r="Z43" s="711">
        <f t="shared" si="22"/>
        <v>500</v>
      </c>
      <c r="AA43" s="708">
        <f t="shared" si="3"/>
        <v>100</v>
      </c>
      <c r="AB43" s="712">
        <f>I43+X43</f>
        <v>50</v>
      </c>
      <c r="AC43" s="705"/>
      <c r="AD43" s="713"/>
      <c r="AE43" s="713"/>
      <c r="AF43" s="845"/>
    </row>
    <row r="44" spans="1:46" ht="78" customHeight="1" x14ac:dyDescent="0.25">
      <c r="A44" s="698">
        <v>24</v>
      </c>
      <c r="B44" s="699" t="s">
        <v>204</v>
      </c>
      <c r="C44" s="700"/>
      <c r="D44" s="701" t="s">
        <v>94</v>
      </c>
      <c r="E44" s="702" t="s">
        <v>460</v>
      </c>
      <c r="F44" s="703" t="s">
        <v>33</v>
      </c>
      <c r="G44" s="709">
        <v>800</v>
      </c>
      <c r="H44" s="706">
        <v>1160000</v>
      </c>
      <c r="I44" s="704"/>
      <c r="J44" s="705"/>
      <c r="K44" s="698">
        <v>100</v>
      </c>
      <c r="L44" s="707">
        <v>274999.95</v>
      </c>
      <c r="M44" s="698">
        <v>100</v>
      </c>
      <c r="N44" s="707">
        <v>200999.95</v>
      </c>
      <c r="O44" s="708"/>
      <c r="P44" s="698">
        <f>+(0+16)+(0+12)+(0+13)</f>
        <v>41</v>
      </c>
      <c r="Q44" s="707">
        <f t="shared" si="25"/>
        <v>0</v>
      </c>
      <c r="R44" s="709">
        <f>+(0+8)+0+(0+6)</f>
        <v>14</v>
      </c>
      <c r="S44" s="706">
        <f>132032.098-Q44</f>
        <v>132032.098</v>
      </c>
      <c r="T44" s="698">
        <f>+(65+1+2+61)-P44-R44</f>
        <v>74</v>
      </c>
      <c r="U44" s="707">
        <f>158666.61-Q44-S44</f>
        <v>26634.511999999988</v>
      </c>
      <c r="V44" s="698">
        <f>3+1+7+2+1</f>
        <v>14</v>
      </c>
      <c r="W44" s="707">
        <f>185574.672-Q44-S44-U44</f>
        <v>26908.062000000005</v>
      </c>
      <c r="X44" s="786">
        <f t="shared" si="26"/>
        <v>143</v>
      </c>
      <c r="Y44" s="706">
        <f t="shared" si="26"/>
        <v>185574.67199999999</v>
      </c>
      <c r="Z44" s="711">
        <f t="shared" si="22"/>
        <v>143</v>
      </c>
      <c r="AA44" s="708">
        <f t="shared" si="3"/>
        <v>92.325730429286168</v>
      </c>
      <c r="AB44" s="712"/>
      <c r="AC44" s="705"/>
      <c r="AD44" s="713"/>
      <c r="AE44" s="713"/>
      <c r="AF44" s="845"/>
    </row>
    <row r="45" spans="1:46" ht="78" customHeight="1" x14ac:dyDescent="0.25">
      <c r="A45" s="698">
        <v>25</v>
      </c>
      <c r="B45" s="699" t="s">
        <v>461</v>
      </c>
      <c r="C45" s="700"/>
      <c r="D45" s="701" t="s">
        <v>462</v>
      </c>
      <c r="E45" s="702" t="s">
        <v>463</v>
      </c>
      <c r="F45" s="703" t="s">
        <v>33</v>
      </c>
      <c r="G45" s="709">
        <v>400</v>
      </c>
      <c r="H45" s="706">
        <v>86000</v>
      </c>
      <c r="I45" s="704"/>
      <c r="J45" s="705"/>
      <c r="K45" s="698">
        <v>60</v>
      </c>
      <c r="L45" s="707">
        <v>19999.75</v>
      </c>
      <c r="M45" s="698">
        <v>60</v>
      </c>
      <c r="N45" s="707">
        <v>10999.75</v>
      </c>
      <c r="O45" s="708"/>
      <c r="P45" s="698">
        <f>+(8+0)+(0+1)+(8+0)</f>
        <v>17</v>
      </c>
      <c r="Q45" s="707">
        <f t="shared" si="25"/>
        <v>0</v>
      </c>
      <c r="R45" s="709">
        <f>+(15+6+2)+(1+6)+0</f>
        <v>30</v>
      </c>
      <c r="S45" s="706">
        <f>2100-Q45</f>
        <v>2100</v>
      </c>
      <c r="T45" s="698">
        <f>+(24+35+32+40)-P45-R45</f>
        <v>84</v>
      </c>
      <c r="U45" s="707">
        <v>0</v>
      </c>
      <c r="V45" s="698">
        <f>7+1+5+2+1</f>
        <v>16</v>
      </c>
      <c r="W45" s="707">
        <f>9949.75-Q45-S45-U45</f>
        <v>7849.75</v>
      </c>
      <c r="X45" s="786">
        <f t="shared" si="26"/>
        <v>147</v>
      </c>
      <c r="Y45" s="706">
        <f t="shared" si="26"/>
        <v>9949.75</v>
      </c>
      <c r="Z45" s="711">
        <f t="shared" si="22"/>
        <v>245.00000000000003</v>
      </c>
      <c r="AA45" s="708">
        <f t="shared" si="3"/>
        <v>90.454328507466073</v>
      </c>
      <c r="AB45" s="712"/>
      <c r="AC45" s="705"/>
      <c r="AD45" s="713"/>
      <c r="AE45" s="713"/>
      <c r="AF45" s="845"/>
    </row>
    <row r="46" spans="1:46" ht="50.25" customHeight="1" x14ac:dyDescent="0.25">
      <c r="A46" s="698">
        <v>26</v>
      </c>
      <c r="B46" s="788" t="s">
        <v>464</v>
      </c>
      <c r="C46" s="844"/>
      <c r="D46" s="701" t="s">
        <v>465</v>
      </c>
      <c r="E46" s="702" t="s">
        <v>466</v>
      </c>
      <c r="F46" s="703" t="s">
        <v>33</v>
      </c>
      <c r="G46" s="709">
        <v>280</v>
      </c>
      <c r="H46" s="706">
        <v>215000</v>
      </c>
      <c r="I46" s="704"/>
      <c r="J46" s="705"/>
      <c r="K46" s="698">
        <v>35</v>
      </c>
      <c r="L46" s="707">
        <v>49999.6</v>
      </c>
      <c r="M46" s="698">
        <v>35</v>
      </c>
      <c r="N46" s="707">
        <v>25499.599999999999</v>
      </c>
      <c r="O46" s="708"/>
      <c r="P46" s="698">
        <f>+(7+3+1)+(5+1)+(8+2)</f>
        <v>27</v>
      </c>
      <c r="Q46" s="707">
        <f t="shared" si="25"/>
        <v>0</v>
      </c>
      <c r="R46" s="709">
        <f>(47+13)+(2+2+11+3)+(2+8)</f>
        <v>88</v>
      </c>
      <c r="S46" s="706">
        <f>9400-Q46</f>
        <v>9400</v>
      </c>
      <c r="T46" s="698">
        <f>+(8+58+13+74)-P46-R46</f>
        <v>38</v>
      </c>
      <c r="U46" s="707">
        <v>0</v>
      </c>
      <c r="V46" s="698">
        <f>11+10+12</f>
        <v>33</v>
      </c>
      <c r="W46" s="707">
        <f>25499.6-Q46-S46-U46</f>
        <v>16099.599999999999</v>
      </c>
      <c r="X46" s="786">
        <f t="shared" si="26"/>
        <v>186</v>
      </c>
      <c r="Y46" s="706">
        <f t="shared" si="26"/>
        <v>25499.599999999999</v>
      </c>
      <c r="Z46" s="711">
        <f t="shared" si="22"/>
        <v>531.42857142857144</v>
      </c>
      <c r="AA46" s="708">
        <f t="shared" si="3"/>
        <v>100</v>
      </c>
      <c r="AB46" s="712">
        <f>I46+X46</f>
        <v>186</v>
      </c>
      <c r="AC46" s="705"/>
      <c r="AD46" s="713"/>
      <c r="AE46" s="713"/>
      <c r="AF46" s="703"/>
    </row>
    <row r="47" spans="1:46" s="681" customFormat="1" ht="65.25" customHeight="1" x14ac:dyDescent="0.25">
      <c r="A47" s="667" t="s">
        <v>7</v>
      </c>
      <c r="B47" s="744">
        <v>4.5879629629629631E-2</v>
      </c>
      <c r="C47" s="745" t="s">
        <v>307</v>
      </c>
      <c r="D47" s="670" t="s">
        <v>82</v>
      </c>
      <c r="E47" s="671" t="s">
        <v>467</v>
      </c>
      <c r="F47" s="672" t="s">
        <v>15</v>
      </c>
      <c r="G47" s="806">
        <v>0.34</v>
      </c>
      <c r="H47" s="803">
        <f>+H48</f>
        <v>1211145.125</v>
      </c>
      <c r="I47" s="807">
        <v>0.44</v>
      </c>
      <c r="J47" s="803"/>
      <c r="K47" s="673">
        <v>0.34</v>
      </c>
      <c r="L47" s="674">
        <f>L48</f>
        <v>280656.84999999998</v>
      </c>
      <c r="M47" s="673">
        <v>0.34</v>
      </c>
      <c r="N47" s="839">
        <f>N48</f>
        <v>222293.35</v>
      </c>
      <c r="O47" s="839">
        <f t="shared" ref="O47:W47" si="27">O48</f>
        <v>0</v>
      </c>
      <c r="P47" s="846">
        <f>(P48+P46)/AU51*100</f>
        <v>0.17551337662663291</v>
      </c>
      <c r="Q47" s="839">
        <f t="shared" si="27"/>
        <v>23595.4</v>
      </c>
      <c r="R47" s="846">
        <f>(R48+R46)/AU51*100</f>
        <v>5.7041847403655692E-2</v>
      </c>
      <c r="S47" s="839">
        <f t="shared" si="27"/>
        <v>101910.39999999999</v>
      </c>
      <c r="T47" s="846">
        <f>(T48+T46)/AU51*100</f>
        <v>2.6327006493994939E-2</v>
      </c>
      <c r="U47" s="839">
        <f t="shared" si="27"/>
        <v>41960.05</v>
      </c>
      <c r="V47" s="846">
        <f>(V48+V46)/AU51*100</f>
        <v>0.12411303061454755</v>
      </c>
      <c r="W47" s="839">
        <f t="shared" si="27"/>
        <v>45696</v>
      </c>
      <c r="X47" s="807">
        <f t="shared" si="26"/>
        <v>0.38299526113883109</v>
      </c>
      <c r="Y47" s="803">
        <f t="shared" si="26"/>
        <v>213161.84999999998</v>
      </c>
      <c r="Z47" s="807">
        <f t="shared" si="22"/>
        <v>112.64566504083267</v>
      </c>
      <c r="AA47" s="678">
        <f t="shared" si="3"/>
        <v>95.892139823346028</v>
      </c>
      <c r="AB47" s="807">
        <f>X47</f>
        <v>0.38299526113883109</v>
      </c>
      <c r="AC47" s="803">
        <f>Y47+J47</f>
        <v>213161.84999999998</v>
      </c>
      <c r="AD47" s="808">
        <f t="shared" ref="AD47:AE47" si="28">AB47/G47*100</f>
        <v>112.64566504083267</v>
      </c>
      <c r="AE47" s="805">
        <f t="shared" si="28"/>
        <v>17.600025430478446</v>
      </c>
      <c r="AF47" s="667" t="s">
        <v>16</v>
      </c>
      <c r="AN47" s="681">
        <v>176159</v>
      </c>
      <c r="AO47" s="681" t="s">
        <v>493</v>
      </c>
      <c r="AQ47" s="903" t="s">
        <v>497</v>
      </c>
      <c r="AR47" s="903" t="s">
        <v>495</v>
      </c>
      <c r="AS47" s="903" t="s">
        <v>498</v>
      </c>
      <c r="AT47" s="903" t="s">
        <v>496</v>
      </c>
    </row>
    <row r="48" spans="1:46" s="681" customFormat="1" ht="83.25" customHeight="1" x14ac:dyDescent="0.25">
      <c r="A48" s="847">
        <v>9</v>
      </c>
      <c r="B48" s="946" t="s">
        <v>318</v>
      </c>
      <c r="C48" s="848" t="s">
        <v>307</v>
      </c>
      <c r="D48" s="849" t="s">
        <v>97</v>
      </c>
      <c r="E48" s="850" t="s">
        <v>319</v>
      </c>
      <c r="F48" s="847" t="s">
        <v>256</v>
      </c>
      <c r="G48" s="941">
        <f>SUM(G49:G52)</f>
        <v>1304</v>
      </c>
      <c r="H48" s="942">
        <f>SUM(H49:H52)</f>
        <v>1211145.125</v>
      </c>
      <c r="I48" s="851"/>
      <c r="J48" s="852"/>
      <c r="K48" s="853">
        <f>SUM(K49:K52)</f>
        <v>318</v>
      </c>
      <c r="L48" s="854">
        <f>SUM(L49:L52)</f>
        <v>280656.84999999998</v>
      </c>
      <c r="M48" s="853">
        <f>SUM(M49:M52)</f>
        <v>318</v>
      </c>
      <c r="N48" s="854">
        <f>SUM(N49:N52)</f>
        <v>222293.35</v>
      </c>
      <c r="O48" s="854">
        <f t="shared" ref="O48:U48" si="29">SUM(O49:O52)</f>
        <v>0</v>
      </c>
      <c r="P48" s="855">
        <f>SUM(P49:P52)-P50</f>
        <v>253</v>
      </c>
      <c r="Q48" s="854">
        <f t="shared" si="29"/>
        <v>23595.4</v>
      </c>
      <c r="R48" s="855">
        <f>SUM(R49:R52)-R50</f>
        <v>3</v>
      </c>
      <c r="S48" s="854">
        <f t="shared" si="29"/>
        <v>101910.39999999999</v>
      </c>
      <c r="T48" s="855">
        <f>SUM(T49:T52)-T50</f>
        <v>4</v>
      </c>
      <c r="U48" s="854">
        <f t="shared" si="29"/>
        <v>41960.05</v>
      </c>
      <c r="V48" s="952">
        <f t="shared" ref="V48:W48" si="30">SUM(V49:V52)</f>
        <v>165</v>
      </c>
      <c r="W48" s="854">
        <f t="shared" si="30"/>
        <v>45696</v>
      </c>
      <c r="X48" s="856">
        <f>SUM(X49:X52)</f>
        <v>435</v>
      </c>
      <c r="Y48" s="854">
        <f>SUM(Y49:Y52)</f>
        <v>213161.85</v>
      </c>
      <c r="Z48" s="857">
        <f>X48/M48*100</f>
        <v>136.79245283018869</v>
      </c>
      <c r="AA48" s="947">
        <f t="shared" si="3"/>
        <v>95.892139823346042</v>
      </c>
      <c r="AB48" s="858"/>
      <c r="AC48" s="859"/>
      <c r="AD48" s="860"/>
      <c r="AE48" s="857"/>
      <c r="AF48" s="847"/>
      <c r="AN48" s="681">
        <v>125913</v>
      </c>
      <c r="AO48" s="681" t="s">
        <v>494</v>
      </c>
      <c r="AQ48" s="681">
        <v>1642</v>
      </c>
      <c r="AR48" s="681">
        <v>6068</v>
      </c>
      <c r="AS48" s="681">
        <v>4078</v>
      </c>
      <c r="AT48" s="681">
        <f>38+58</f>
        <v>96</v>
      </c>
    </row>
    <row r="49" spans="1:47" ht="78.75" customHeight="1" x14ac:dyDescent="0.25">
      <c r="A49" s="767">
        <v>27</v>
      </c>
      <c r="B49" s="788" t="s">
        <v>205</v>
      </c>
      <c r="C49" s="700" t="s">
        <v>320</v>
      </c>
      <c r="D49" s="701" t="s">
        <v>87</v>
      </c>
      <c r="E49" s="702" t="s">
        <v>454</v>
      </c>
      <c r="F49" s="703" t="s">
        <v>33</v>
      </c>
      <c r="G49" s="709">
        <v>96</v>
      </c>
      <c r="H49" s="706">
        <v>170000</v>
      </c>
      <c r="I49" s="704"/>
      <c r="J49" s="705"/>
      <c r="K49" s="698">
        <v>24</v>
      </c>
      <c r="L49" s="707">
        <v>35994.6</v>
      </c>
      <c r="M49" s="698">
        <v>24</v>
      </c>
      <c r="N49" s="707">
        <v>25994.6</v>
      </c>
      <c r="O49" s="710"/>
      <c r="P49" s="698">
        <f>0+2+1</f>
        <v>3</v>
      </c>
      <c r="Q49" s="707">
        <v>4095.4</v>
      </c>
      <c r="R49" s="709">
        <f>0+0+3</f>
        <v>3</v>
      </c>
      <c r="S49" s="930">
        <f>11330.8-Q49</f>
        <v>7235.4</v>
      </c>
      <c r="T49" s="763">
        <f>0+1+3</f>
        <v>4</v>
      </c>
      <c r="U49" s="764">
        <f>16001.6-Q49-S49</f>
        <v>4670.8000000000011</v>
      </c>
      <c r="V49" s="763">
        <f>3+10+1</f>
        <v>14</v>
      </c>
      <c r="W49" s="764">
        <f>24588.1-Q49-S49-U49</f>
        <v>8586.4999999999964</v>
      </c>
      <c r="X49" s="763">
        <f t="shared" ref="X49:Y63" si="31">P49+R49+T49+V49</f>
        <v>24</v>
      </c>
      <c r="Y49" s="764">
        <f t="shared" si="31"/>
        <v>24588.1</v>
      </c>
      <c r="Z49" s="768">
        <f>X49/M49*100</f>
        <v>100</v>
      </c>
      <c r="AA49" s="708">
        <f t="shared" si="3"/>
        <v>94.589260846483498</v>
      </c>
      <c r="AB49" s="793"/>
      <c r="AC49" s="761"/>
      <c r="AD49" s="843"/>
      <c r="AE49" s="843"/>
      <c r="AF49" s="760"/>
      <c r="AN49" s="945">
        <f>AN47-AN48</f>
        <v>50246</v>
      </c>
      <c r="AQ49" s="650">
        <v>4743</v>
      </c>
    </row>
    <row r="50" spans="1:47" ht="77.25" customHeight="1" x14ac:dyDescent="0.25">
      <c r="A50" s="813">
        <v>28</v>
      </c>
      <c r="B50" s="788" t="s">
        <v>206</v>
      </c>
      <c r="C50" s="844"/>
      <c r="D50" s="701" t="s">
        <v>99</v>
      </c>
      <c r="E50" s="702" t="s">
        <v>456</v>
      </c>
      <c r="F50" s="703" t="s">
        <v>33</v>
      </c>
      <c r="G50" s="709">
        <v>96</v>
      </c>
      <c r="H50" s="706">
        <v>43000</v>
      </c>
      <c r="I50" s="704"/>
      <c r="J50" s="705"/>
      <c r="K50" s="698">
        <v>24</v>
      </c>
      <c r="L50" s="707">
        <v>9987.5</v>
      </c>
      <c r="M50" s="698">
        <v>24</v>
      </c>
      <c r="N50" s="707">
        <v>9987.5</v>
      </c>
      <c r="O50" s="710"/>
      <c r="P50" s="698">
        <v>3</v>
      </c>
      <c r="Q50" s="707">
        <f>0+0+0</f>
        <v>0</v>
      </c>
      <c r="R50" s="709">
        <f>0+0+3</f>
        <v>3</v>
      </c>
      <c r="S50" s="932">
        <v>5025</v>
      </c>
      <c r="T50" s="861">
        <f>T49</f>
        <v>4</v>
      </c>
      <c r="U50" s="862">
        <f>9987.5-Q50-S50</f>
        <v>4962.5</v>
      </c>
      <c r="V50" s="861">
        <f>3+10+1</f>
        <v>14</v>
      </c>
      <c r="W50" s="862">
        <v>0</v>
      </c>
      <c r="X50" s="861">
        <f t="shared" si="31"/>
        <v>24</v>
      </c>
      <c r="Y50" s="862">
        <f t="shared" si="31"/>
        <v>9987.5</v>
      </c>
      <c r="Z50" s="863">
        <f>X50/M50*100</f>
        <v>100</v>
      </c>
      <c r="AA50" s="708">
        <f t="shared" si="3"/>
        <v>100</v>
      </c>
      <c r="AB50" s="864"/>
      <c r="AC50" s="865"/>
      <c r="AD50" s="866"/>
      <c r="AE50" s="867"/>
      <c r="AF50" s="868"/>
      <c r="AQ50" s="650">
        <f>AQ48+AQ49</f>
        <v>6385</v>
      </c>
      <c r="AR50" s="650">
        <f t="shared" ref="AR50:AT50" si="32">AR48+AR49</f>
        <v>6068</v>
      </c>
      <c r="AS50" s="650">
        <f t="shared" si="32"/>
        <v>4078</v>
      </c>
      <c r="AT50" s="650">
        <f t="shared" si="32"/>
        <v>96</v>
      </c>
      <c r="AU50" s="650">
        <f>AQ50+AR50+AS50+AT50</f>
        <v>16627</v>
      </c>
    </row>
    <row r="51" spans="1:47" ht="48" customHeight="1" x14ac:dyDescent="0.25">
      <c r="A51" s="698">
        <v>29</v>
      </c>
      <c r="B51" s="788" t="s">
        <v>207</v>
      </c>
      <c r="C51" s="700" t="s">
        <v>322</v>
      </c>
      <c r="D51" s="869" t="s">
        <v>92</v>
      </c>
      <c r="E51" s="702" t="s">
        <v>459</v>
      </c>
      <c r="F51" s="703" t="s">
        <v>33</v>
      </c>
      <c r="G51" s="709">
        <v>112</v>
      </c>
      <c r="H51" s="706">
        <v>743145.125</v>
      </c>
      <c r="I51" s="704"/>
      <c r="J51" s="705"/>
      <c r="K51" s="698">
        <v>20</v>
      </c>
      <c r="L51" s="707">
        <v>174999.75</v>
      </c>
      <c r="M51" s="698">
        <v>20</v>
      </c>
      <c r="N51" s="707">
        <v>126636.25</v>
      </c>
      <c r="O51" s="716"/>
      <c r="P51" s="698">
        <v>0</v>
      </c>
      <c r="Q51" s="707">
        <v>19500</v>
      </c>
      <c r="R51" s="709">
        <v>0</v>
      </c>
      <c r="S51" s="706">
        <f>50700-Q51</f>
        <v>31200</v>
      </c>
      <c r="T51" s="698">
        <v>0</v>
      </c>
      <c r="U51" s="707">
        <f>83026.75-Q51-S51</f>
        <v>32326.75</v>
      </c>
      <c r="V51" s="698">
        <f>6+131</f>
        <v>137</v>
      </c>
      <c r="W51" s="707">
        <f>120136.25-Q51-S51-U51</f>
        <v>37109.5</v>
      </c>
      <c r="X51" s="698">
        <f t="shared" si="31"/>
        <v>137</v>
      </c>
      <c r="Y51" s="707">
        <f t="shared" si="31"/>
        <v>120136.25</v>
      </c>
      <c r="Z51" s="711">
        <f t="shared" ref="Z51:AA66" si="33">X51/M51*100</f>
        <v>685</v>
      </c>
      <c r="AA51" s="708">
        <f t="shared" si="3"/>
        <v>94.867188502502245</v>
      </c>
      <c r="AB51" s="712"/>
      <c r="AC51" s="707"/>
      <c r="AD51" s="713"/>
      <c r="AE51" s="713"/>
      <c r="AF51" s="703"/>
      <c r="AU51" s="650">
        <f>AN47-AU50</f>
        <v>159532</v>
      </c>
    </row>
    <row r="52" spans="1:47" ht="104.25" customHeight="1" x14ac:dyDescent="0.25">
      <c r="A52" s="767">
        <v>30</v>
      </c>
      <c r="B52" s="788" t="s">
        <v>208</v>
      </c>
      <c r="C52" s="844"/>
      <c r="D52" s="701" t="s">
        <v>103</v>
      </c>
      <c r="E52" s="702" t="s">
        <v>468</v>
      </c>
      <c r="F52" s="703" t="s">
        <v>492</v>
      </c>
      <c r="G52" s="709">
        <v>1000</v>
      </c>
      <c r="H52" s="706">
        <v>255000</v>
      </c>
      <c r="I52" s="704"/>
      <c r="J52" s="705"/>
      <c r="K52" s="698">
        <v>250</v>
      </c>
      <c r="L52" s="707">
        <v>59675</v>
      </c>
      <c r="M52" s="698">
        <v>250</v>
      </c>
      <c r="N52" s="707">
        <v>59675</v>
      </c>
      <c r="O52" s="710"/>
      <c r="P52" s="698">
        <v>250</v>
      </c>
      <c r="Q52" s="707">
        <f>0+0+0</f>
        <v>0</v>
      </c>
      <c r="R52" s="709">
        <v>0</v>
      </c>
      <c r="S52" s="930">
        <v>58450</v>
      </c>
      <c r="T52" s="763">
        <v>0</v>
      </c>
      <c r="U52" s="764">
        <v>0</v>
      </c>
      <c r="V52" s="763">
        <v>0</v>
      </c>
      <c r="W52" s="764">
        <v>0</v>
      </c>
      <c r="X52" s="763">
        <f t="shared" si="31"/>
        <v>250</v>
      </c>
      <c r="Y52" s="764">
        <f t="shared" si="31"/>
        <v>58450</v>
      </c>
      <c r="Z52" s="768">
        <f t="shared" si="33"/>
        <v>100</v>
      </c>
      <c r="AA52" s="870">
        <f t="shared" si="3"/>
        <v>97.94721407624634</v>
      </c>
      <c r="AB52" s="793"/>
      <c r="AC52" s="761"/>
      <c r="AD52" s="794"/>
      <c r="AE52" s="843"/>
      <c r="AF52" s="760"/>
      <c r="AQ52" s="950">
        <f>(P46+P49)/AU51*100</f>
        <v>1.880500463856781E-2</v>
      </c>
      <c r="AR52" s="950">
        <f>(R46+R49)/AU51*100</f>
        <v>5.7041847403655692E-2</v>
      </c>
      <c r="AS52" s="950">
        <f>(T46+T49)/AU51*100</f>
        <v>2.6327006493994939E-2</v>
      </c>
      <c r="AT52" s="949"/>
      <c r="AU52" s="950">
        <f>AQ52+AR52+AS52</f>
        <v>0.10217385853621844</v>
      </c>
    </row>
    <row r="53" spans="1:47" s="681" customFormat="1" ht="72" customHeight="1" x14ac:dyDescent="0.25">
      <c r="A53" s="871" t="s">
        <v>8</v>
      </c>
      <c r="B53" s="872">
        <v>4.5891203703703705E-2</v>
      </c>
      <c r="C53" s="873" t="s">
        <v>307</v>
      </c>
      <c r="D53" s="670" t="s">
        <v>105</v>
      </c>
      <c r="E53" s="671" t="s">
        <v>469</v>
      </c>
      <c r="F53" s="672" t="s">
        <v>15</v>
      </c>
      <c r="G53" s="806">
        <v>100</v>
      </c>
      <c r="H53" s="803">
        <f>+H54</f>
        <v>2014796.7169999999</v>
      </c>
      <c r="I53" s="677">
        <v>100</v>
      </c>
      <c r="J53" s="674"/>
      <c r="K53" s="673">
        <v>100</v>
      </c>
      <c r="L53" s="674">
        <f>L54</f>
        <v>881800.14999999991</v>
      </c>
      <c r="M53" s="673">
        <v>100</v>
      </c>
      <c r="N53" s="674">
        <f>N54</f>
        <v>1384269.6</v>
      </c>
      <c r="O53" s="674">
        <f t="shared" ref="O53:W53" si="34">O54</f>
        <v>0</v>
      </c>
      <c r="P53" s="678">
        <v>100</v>
      </c>
      <c r="Q53" s="674">
        <f t="shared" si="34"/>
        <v>5962.75</v>
      </c>
      <c r="R53" s="678">
        <v>100</v>
      </c>
      <c r="S53" s="674">
        <f t="shared" si="34"/>
        <v>89430.75</v>
      </c>
      <c r="T53" s="678">
        <v>100</v>
      </c>
      <c r="U53" s="674">
        <f t="shared" si="34"/>
        <v>643109.65</v>
      </c>
      <c r="V53" s="674">
        <v>100</v>
      </c>
      <c r="W53" s="674">
        <f t="shared" si="34"/>
        <v>619534.6</v>
      </c>
      <c r="X53" s="678">
        <v>100</v>
      </c>
      <c r="Y53" s="674">
        <f>Q53+S53+U53+W53</f>
        <v>1358037.75</v>
      </c>
      <c r="Z53" s="677">
        <f t="shared" si="33"/>
        <v>100</v>
      </c>
      <c r="AA53" s="678">
        <f t="shared" si="3"/>
        <v>98.105004256396285</v>
      </c>
      <c r="AB53" s="677">
        <v>0.39</v>
      </c>
      <c r="AC53" s="674">
        <f>Y53+J53</f>
        <v>1358037.75</v>
      </c>
      <c r="AD53" s="748">
        <f t="shared" ref="AD53:AE53" si="35">AB53/G53*100</f>
        <v>0.39</v>
      </c>
      <c r="AE53" s="677">
        <f t="shared" si="35"/>
        <v>67.403214356140921</v>
      </c>
      <c r="AF53" s="667" t="s">
        <v>16</v>
      </c>
      <c r="AQ53" s="681">
        <f>3+250+27</f>
        <v>280</v>
      </c>
      <c r="AR53" s="681">
        <f>3+88</f>
        <v>91</v>
      </c>
      <c r="AS53" s="681">
        <f>4+T46</f>
        <v>42</v>
      </c>
    </row>
    <row r="54" spans="1:47" ht="53.25" customHeight="1" x14ac:dyDescent="0.25">
      <c r="A54" s="874">
        <v>10</v>
      </c>
      <c r="B54" s="875" t="s">
        <v>328</v>
      </c>
      <c r="C54" s="876"/>
      <c r="D54" s="687" t="s">
        <v>115</v>
      </c>
      <c r="E54" s="686" t="s">
        <v>329</v>
      </c>
      <c r="F54" s="684" t="s">
        <v>245</v>
      </c>
      <c r="G54" s="935">
        <v>2</v>
      </c>
      <c r="H54" s="936">
        <f>H56+H57</f>
        <v>2014796.7169999999</v>
      </c>
      <c r="I54" s="720"/>
      <c r="J54" s="721"/>
      <c r="K54" s="690">
        <v>2</v>
      </c>
      <c r="L54" s="691">
        <f>SUM(L56:L57)</f>
        <v>881800.14999999991</v>
      </c>
      <c r="M54" s="690">
        <v>2</v>
      </c>
      <c r="N54" s="691">
        <f>SUM(N55:N57)</f>
        <v>1384269.6</v>
      </c>
      <c r="O54" s="691">
        <f t="shared" ref="O54:W54" si="36">SUM(O55:O57)</f>
        <v>0</v>
      </c>
      <c r="P54" s="693">
        <v>0</v>
      </c>
      <c r="Q54" s="691">
        <f t="shared" si="36"/>
        <v>5962.75</v>
      </c>
      <c r="R54" s="693">
        <v>0</v>
      </c>
      <c r="S54" s="691">
        <f t="shared" si="36"/>
        <v>89430.75</v>
      </c>
      <c r="T54" s="693">
        <v>1</v>
      </c>
      <c r="U54" s="691">
        <f t="shared" si="36"/>
        <v>643109.65</v>
      </c>
      <c r="V54" s="693">
        <v>1</v>
      </c>
      <c r="W54" s="691">
        <f t="shared" si="36"/>
        <v>619534.6</v>
      </c>
      <c r="X54" s="798">
        <f>P54+R54+T54+V54</f>
        <v>2</v>
      </c>
      <c r="Y54" s="877">
        <f t="shared" ref="Y54:Y66" si="37">Q54+S54+U54+W54</f>
        <v>1358037.75</v>
      </c>
      <c r="Z54" s="695">
        <f t="shared" si="33"/>
        <v>100</v>
      </c>
      <c r="AA54" s="780">
        <f t="shared" si="3"/>
        <v>98.105004256396285</v>
      </c>
      <c r="AB54" s="799"/>
      <c r="AC54" s="724"/>
      <c r="AD54" s="751"/>
      <c r="AE54" s="725"/>
      <c r="AF54" s="727"/>
      <c r="AQ54" s="950">
        <f>AQ53/AU51*100</f>
        <v>0.17551337662663291</v>
      </c>
      <c r="AR54" s="905">
        <f>AR53/AU51*100</f>
        <v>5.7041847403655692E-2</v>
      </c>
      <c r="AS54" s="905">
        <f>AS53/AU51*100</f>
        <v>2.6327006493994939E-2</v>
      </c>
      <c r="AT54" s="905"/>
      <c r="AU54" s="905">
        <f>AQ54+AR54+AS54</f>
        <v>0.25888223052428355</v>
      </c>
    </row>
    <row r="55" spans="1:47" ht="48" hidden="1" customHeight="1" x14ac:dyDescent="0.25">
      <c r="A55" s="831"/>
      <c r="B55" s="878"/>
      <c r="C55" s="700" t="s">
        <v>330</v>
      </c>
      <c r="D55" s="701" t="s">
        <v>116</v>
      </c>
      <c r="E55" s="702" t="s">
        <v>117</v>
      </c>
      <c r="F55" s="703" t="s">
        <v>19</v>
      </c>
      <c r="G55" s="709"/>
      <c r="H55" s="706"/>
      <c r="I55" s="704"/>
      <c r="J55" s="705"/>
      <c r="K55" s="698"/>
      <c r="L55" s="707"/>
      <c r="M55" s="698">
        <v>0</v>
      </c>
      <c r="N55" s="707">
        <v>0</v>
      </c>
      <c r="O55" s="710"/>
      <c r="P55" s="698">
        <v>0</v>
      </c>
      <c r="Q55" s="707"/>
      <c r="R55" s="709"/>
      <c r="S55" s="716"/>
      <c r="T55" s="698"/>
      <c r="U55" s="710"/>
      <c r="V55" s="698"/>
      <c r="W55" s="715"/>
      <c r="X55" s="698">
        <f t="shared" si="31"/>
        <v>0</v>
      </c>
      <c r="Y55" s="674">
        <f t="shared" si="37"/>
        <v>0</v>
      </c>
      <c r="Z55" s="809" t="e">
        <f t="shared" si="33"/>
        <v>#DIV/0!</v>
      </c>
      <c r="AA55" s="753" t="e">
        <f t="shared" si="3"/>
        <v>#DIV/0!</v>
      </c>
      <c r="AB55" s="712">
        <f>I55+X55</f>
        <v>0</v>
      </c>
      <c r="AC55" s="705">
        <f>Y55+J55</f>
        <v>0</v>
      </c>
      <c r="AD55" s="732" t="e">
        <f>AB55/G55*100</f>
        <v>#DIV/0!</v>
      </c>
      <c r="AE55" s="713" t="e">
        <f>AC55/H55*100</f>
        <v>#DIV/0!</v>
      </c>
      <c r="AF55" s="703"/>
    </row>
    <row r="56" spans="1:47" ht="51.75" customHeight="1" x14ac:dyDescent="0.25">
      <c r="A56" s="842">
        <v>31</v>
      </c>
      <c r="B56" s="878" t="s">
        <v>212</v>
      </c>
      <c r="C56" s="700" t="s">
        <v>331</v>
      </c>
      <c r="D56" s="701" t="s">
        <v>115</v>
      </c>
      <c r="E56" s="702" t="s">
        <v>470</v>
      </c>
      <c r="F56" s="743" t="s">
        <v>33</v>
      </c>
      <c r="G56" s="709">
        <v>50000</v>
      </c>
      <c r="H56" s="706">
        <v>1314796.7169999999</v>
      </c>
      <c r="I56" s="704"/>
      <c r="J56" s="705"/>
      <c r="K56" s="698">
        <v>50000</v>
      </c>
      <c r="L56" s="707">
        <v>310819.05</v>
      </c>
      <c r="M56" s="698">
        <v>50000</v>
      </c>
      <c r="N56" s="707">
        <v>341719.05</v>
      </c>
      <c r="O56" s="708"/>
      <c r="P56" s="698">
        <f>0+1141+2134</f>
        <v>3275</v>
      </c>
      <c r="Q56" s="707">
        <v>5962.75</v>
      </c>
      <c r="R56" s="709">
        <f>5349+50000</f>
        <v>55349</v>
      </c>
      <c r="S56" s="706">
        <f>83433.5-Q56</f>
        <v>77470.75</v>
      </c>
      <c r="T56" s="698">
        <f>0+0+0</f>
        <v>0</v>
      </c>
      <c r="U56" s="707">
        <f>233479.5-Q56-S56</f>
        <v>150046</v>
      </c>
      <c r="V56" s="698">
        <f>165+13</f>
        <v>178</v>
      </c>
      <c r="W56" s="707">
        <f>322715.1-Q56-S56-U56</f>
        <v>89235.599999999977</v>
      </c>
      <c r="X56" s="698">
        <f t="shared" si="31"/>
        <v>58802</v>
      </c>
      <c r="Y56" s="707">
        <f t="shared" si="37"/>
        <v>322715.09999999998</v>
      </c>
      <c r="Z56" s="711">
        <f t="shared" si="33"/>
        <v>117.604</v>
      </c>
      <c r="AA56" s="708">
        <f t="shared" si="3"/>
        <v>94.438720931712766</v>
      </c>
      <c r="AB56" s="712"/>
      <c r="AC56" s="705"/>
      <c r="AD56" s="732"/>
      <c r="AE56" s="713"/>
      <c r="AF56" s="703"/>
    </row>
    <row r="57" spans="1:47" ht="80.25" customHeight="1" x14ac:dyDescent="0.25">
      <c r="A57" s="842">
        <v>32</v>
      </c>
      <c r="B57" s="878" t="s">
        <v>332</v>
      </c>
      <c r="C57" s="700"/>
      <c r="D57" s="701" t="s">
        <v>333</v>
      </c>
      <c r="E57" s="702" t="s">
        <v>471</v>
      </c>
      <c r="F57" s="743" t="s">
        <v>449</v>
      </c>
      <c r="G57" s="709">
        <v>920</v>
      </c>
      <c r="H57" s="706">
        <v>700000</v>
      </c>
      <c r="I57" s="704"/>
      <c r="J57" s="705"/>
      <c r="K57" s="698">
        <v>230</v>
      </c>
      <c r="L57" s="707">
        <v>570981.1</v>
      </c>
      <c r="M57" s="698">
        <v>632</v>
      </c>
      <c r="N57" s="707">
        <v>1042550.55</v>
      </c>
      <c r="O57" s="708"/>
      <c r="P57" s="698">
        <v>0</v>
      </c>
      <c r="Q57" s="707">
        <f>0+0+0</f>
        <v>0</v>
      </c>
      <c r="R57" s="709">
        <v>0</v>
      </c>
      <c r="S57" s="706">
        <v>11960</v>
      </c>
      <c r="T57" s="698">
        <f>80+0+798</f>
        <v>878</v>
      </c>
      <c r="U57" s="707">
        <f>505023.65-Q57-S57</f>
        <v>493063.65</v>
      </c>
      <c r="V57" s="698">
        <v>0</v>
      </c>
      <c r="W57" s="707">
        <f>1035322.65-Q57-S57-U57</f>
        <v>530299</v>
      </c>
      <c r="X57" s="698">
        <f>P57+R57+T57+V57</f>
        <v>878</v>
      </c>
      <c r="Y57" s="707">
        <f t="shared" si="37"/>
        <v>1035322.65</v>
      </c>
      <c r="Z57" s="711">
        <f t="shared" si="33"/>
        <v>138.92405063291139</v>
      </c>
      <c r="AA57" s="708">
        <f t="shared" si="3"/>
        <v>99.306709876082266</v>
      </c>
      <c r="AB57" s="712"/>
      <c r="AC57" s="705"/>
      <c r="AD57" s="732"/>
      <c r="AE57" s="713"/>
      <c r="AF57" s="703"/>
      <c r="AR57" s="650">
        <f>0.34-0.27</f>
        <v>7.0000000000000007E-2</v>
      </c>
    </row>
    <row r="58" spans="1:47" s="681" customFormat="1" ht="106.5" customHeight="1" x14ac:dyDescent="0.25">
      <c r="A58" s="667" t="s">
        <v>119</v>
      </c>
      <c r="B58" s="872">
        <v>4.5902777777777772E-2</v>
      </c>
      <c r="C58" s="745" t="s">
        <v>307</v>
      </c>
      <c r="D58" s="670" t="s">
        <v>120</v>
      </c>
      <c r="E58" s="671" t="s">
        <v>472</v>
      </c>
      <c r="F58" s="672" t="s">
        <v>15</v>
      </c>
      <c r="G58" s="806">
        <v>100</v>
      </c>
      <c r="H58" s="803">
        <f>+H59+H62</f>
        <v>1835858.923</v>
      </c>
      <c r="I58" s="675">
        <v>100</v>
      </c>
      <c r="J58" s="674"/>
      <c r="K58" s="673">
        <v>100</v>
      </c>
      <c r="L58" s="674">
        <f>L59+L62</f>
        <v>439998.85</v>
      </c>
      <c r="M58" s="673">
        <v>100</v>
      </c>
      <c r="N58" s="674">
        <f>N59+N62</f>
        <v>381723.85</v>
      </c>
      <c r="O58" s="674">
        <f t="shared" ref="O58:W58" si="38">O59+O62</f>
        <v>0</v>
      </c>
      <c r="P58" s="678">
        <v>100</v>
      </c>
      <c r="Q58" s="674">
        <f t="shared" si="38"/>
        <v>129061.75</v>
      </c>
      <c r="R58" s="678">
        <v>100</v>
      </c>
      <c r="S58" s="674">
        <f t="shared" si="38"/>
        <v>109562.1</v>
      </c>
      <c r="T58" s="678">
        <v>100</v>
      </c>
      <c r="U58" s="674">
        <f t="shared" si="38"/>
        <v>108562.49999999997</v>
      </c>
      <c r="V58" s="674">
        <v>100</v>
      </c>
      <c r="W58" s="674">
        <f t="shared" si="38"/>
        <v>9000</v>
      </c>
      <c r="X58" s="677">
        <v>100</v>
      </c>
      <c r="Y58" s="674">
        <f t="shared" si="37"/>
        <v>356186.35</v>
      </c>
      <c r="Z58" s="879">
        <f t="shared" si="33"/>
        <v>100</v>
      </c>
      <c r="AA58" s="678">
        <f t="shared" si="3"/>
        <v>93.309954303353067</v>
      </c>
      <c r="AB58" s="880">
        <v>100</v>
      </c>
      <c r="AC58" s="674">
        <f>Y58+J58</f>
        <v>356186.35</v>
      </c>
      <c r="AD58" s="748">
        <f>AB58/G58*100</f>
        <v>100</v>
      </c>
      <c r="AE58" s="677">
        <f>AC58/H58*100</f>
        <v>19.401618802928027</v>
      </c>
      <c r="AF58" s="667" t="s">
        <v>16</v>
      </c>
    </row>
    <row r="59" spans="1:47" ht="58.5" customHeight="1" x14ac:dyDescent="0.25">
      <c r="A59" s="727">
        <v>11</v>
      </c>
      <c r="B59" s="881" t="s">
        <v>335</v>
      </c>
      <c r="C59" s="734"/>
      <c r="D59" s="687" t="s">
        <v>121</v>
      </c>
      <c r="E59" s="686" t="s">
        <v>336</v>
      </c>
      <c r="F59" s="684" t="s">
        <v>256</v>
      </c>
      <c r="G59" s="935">
        <f>G60+G61</f>
        <v>50160</v>
      </c>
      <c r="H59" s="936">
        <f>H60+H61</f>
        <v>1755858.923</v>
      </c>
      <c r="I59" s="720"/>
      <c r="J59" s="721"/>
      <c r="K59" s="690">
        <v>12540</v>
      </c>
      <c r="L59" s="943">
        <f t="shared" ref="L59:U59" si="39">SUM(L60:L61)</f>
        <v>419999.19999999995</v>
      </c>
      <c r="M59" s="690">
        <f t="shared" si="39"/>
        <v>12540</v>
      </c>
      <c r="N59" s="695">
        <f>SUM(N60:N61)</f>
        <v>361724.19999999995</v>
      </c>
      <c r="O59" s="690">
        <f t="shared" si="39"/>
        <v>0</v>
      </c>
      <c r="P59" s="690">
        <f t="shared" si="39"/>
        <v>510</v>
      </c>
      <c r="Q59" s="943">
        <f t="shared" si="39"/>
        <v>109512.1</v>
      </c>
      <c r="R59" s="690">
        <f t="shared" si="39"/>
        <v>2706</v>
      </c>
      <c r="S59" s="943">
        <f t="shared" si="39"/>
        <v>109562.1</v>
      </c>
      <c r="T59" s="690">
        <f t="shared" si="39"/>
        <v>2591</v>
      </c>
      <c r="U59" s="943">
        <f t="shared" si="39"/>
        <v>108562.49999999997</v>
      </c>
      <c r="V59" s="692">
        <f t="shared" ref="V59:W59" si="40">SUM(V60:V61)</f>
        <v>5162</v>
      </c>
      <c r="W59" s="943">
        <f t="shared" si="40"/>
        <v>9000</v>
      </c>
      <c r="X59" s="690">
        <f>P59+R59+T59+V59</f>
        <v>10969</v>
      </c>
      <c r="Y59" s="877">
        <f t="shared" si="37"/>
        <v>336636.69999999995</v>
      </c>
      <c r="Z59" s="809">
        <f t="shared" si="33"/>
        <v>87.472089314194577</v>
      </c>
      <c r="AA59" s="694">
        <f t="shared" si="3"/>
        <v>93.064467348327824</v>
      </c>
      <c r="AB59" s="725"/>
      <c r="AC59" s="695"/>
      <c r="AD59" s="725"/>
      <c r="AE59" s="725"/>
      <c r="AF59" s="727"/>
    </row>
    <row r="60" spans="1:47" ht="84" customHeight="1" x14ac:dyDescent="0.25">
      <c r="A60" s="698">
        <v>33</v>
      </c>
      <c r="B60" s="788" t="s">
        <v>213</v>
      </c>
      <c r="C60" s="742" t="s">
        <v>337</v>
      </c>
      <c r="D60" s="701" t="s">
        <v>122</v>
      </c>
      <c r="E60" s="702" t="s">
        <v>473</v>
      </c>
      <c r="F60" s="703" t="s">
        <v>33</v>
      </c>
      <c r="G60" s="709">
        <v>50000</v>
      </c>
      <c r="H60" s="706">
        <v>1705000</v>
      </c>
      <c r="I60" s="704"/>
      <c r="J60" s="705"/>
      <c r="K60" s="698">
        <v>12500</v>
      </c>
      <c r="L60" s="707">
        <v>409999.6</v>
      </c>
      <c r="M60" s="698">
        <v>12500</v>
      </c>
      <c r="N60" s="707">
        <v>351724.6</v>
      </c>
      <c r="O60" s="710"/>
      <c r="P60" s="698">
        <f>0+10+(177+308+15)</f>
        <v>510</v>
      </c>
      <c r="Q60" s="707">
        <f>0+0+109512.1</f>
        <v>109512.1</v>
      </c>
      <c r="R60" s="709">
        <f>1083+(4+4+330)+(4+7+1232+3+3+36)</f>
        <v>2706</v>
      </c>
      <c r="S60" s="706">
        <f>218074.6-Q60</f>
        <v>108562.5</v>
      </c>
      <c r="T60" s="698">
        <f>5796-P60-R60</f>
        <v>2580</v>
      </c>
      <c r="U60" s="707">
        <f>326637.1-Q60-S60</f>
        <v>108562.49999999997</v>
      </c>
      <c r="V60" s="698">
        <f>10+1719+3+14+6+1070+2+6+9+2266+16</f>
        <v>5121</v>
      </c>
      <c r="W60" s="707">
        <v>0</v>
      </c>
      <c r="X60" s="698">
        <f t="shared" si="31"/>
        <v>10917</v>
      </c>
      <c r="Y60" s="707">
        <f t="shared" si="37"/>
        <v>326637.09999999998</v>
      </c>
      <c r="Z60" s="711">
        <f t="shared" si="33"/>
        <v>87.335999999999999</v>
      </c>
      <c r="AA60" s="708">
        <f t="shared" si="3"/>
        <v>92.867288782189249</v>
      </c>
      <c r="AB60" s="712"/>
      <c r="AC60" s="882"/>
      <c r="AD60" s="713"/>
      <c r="AE60" s="713"/>
      <c r="AF60" s="703"/>
    </row>
    <row r="61" spans="1:47" ht="72" customHeight="1" x14ac:dyDescent="0.25">
      <c r="A61" s="842">
        <v>34</v>
      </c>
      <c r="B61" s="788" t="s">
        <v>338</v>
      </c>
      <c r="C61" s="700"/>
      <c r="D61" s="701" t="s">
        <v>339</v>
      </c>
      <c r="E61" s="702" t="s">
        <v>474</v>
      </c>
      <c r="F61" s="703" t="s">
        <v>33</v>
      </c>
      <c r="G61" s="709">
        <v>160</v>
      </c>
      <c r="H61" s="706">
        <v>50858.923000000003</v>
      </c>
      <c r="I61" s="704"/>
      <c r="J61" s="705"/>
      <c r="K61" s="698">
        <v>40</v>
      </c>
      <c r="L61" s="707">
        <v>9999.6</v>
      </c>
      <c r="M61" s="698">
        <v>40</v>
      </c>
      <c r="N61" s="707">
        <v>9999.6</v>
      </c>
      <c r="O61" s="710"/>
      <c r="P61" s="698">
        <f>0</f>
        <v>0</v>
      </c>
      <c r="Q61" s="707">
        <f>0+0+0</f>
        <v>0</v>
      </c>
      <c r="R61" s="709">
        <f>0+0+0</f>
        <v>0</v>
      </c>
      <c r="S61" s="706">
        <v>999.6</v>
      </c>
      <c r="T61" s="698">
        <v>11</v>
      </c>
      <c r="U61" s="707">
        <v>0</v>
      </c>
      <c r="V61" s="698">
        <f>14+2+9+16</f>
        <v>41</v>
      </c>
      <c r="W61" s="707">
        <f>9999.6-Q61-S61-U61</f>
        <v>9000</v>
      </c>
      <c r="X61" s="698">
        <f t="shared" si="31"/>
        <v>52</v>
      </c>
      <c r="Y61" s="707">
        <f t="shared" si="37"/>
        <v>9999.6</v>
      </c>
      <c r="Z61" s="711">
        <f t="shared" si="33"/>
        <v>130</v>
      </c>
      <c r="AA61" s="708">
        <f t="shared" si="3"/>
        <v>100</v>
      </c>
      <c r="AB61" s="712"/>
      <c r="AC61" s="882"/>
      <c r="AD61" s="713"/>
      <c r="AE61" s="713"/>
      <c r="AF61" s="703"/>
    </row>
    <row r="62" spans="1:47" ht="58.5" customHeight="1" x14ac:dyDescent="0.25">
      <c r="A62" s="727">
        <v>12</v>
      </c>
      <c r="B62" s="881" t="s">
        <v>475</v>
      </c>
      <c r="C62" s="734"/>
      <c r="D62" s="687" t="s">
        <v>476</v>
      </c>
      <c r="E62" s="686" t="s">
        <v>477</v>
      </c>
      <c r="F62" s="684" t="s">
        <v>478</v>
      </c>
      <c r="G62" s="935">
        <v>18</v>
      </c>
      <c r="H62" s="936">
        <f>H63</f>
        <v>80000</v>
      </c>
      <c r="I62" s="720"/>
      <c r="J62" s="721"/>
      <c r="K62" s="690">
        <v>3</v>
      </c>
      <c r="L62" s="691">
        <f>L63</f>
        <v>19999.650000000001</v>
      </c>
      <c r="M62" s="690">
        <v>3</v>
      </c>
      <c r="N62" s="691">
        <f>N63</f>
        <v>19999.650000000001</v>
      </c>
      <c r="O62" s="691">
        <f t="shared" ref="O62:W62" si="41">O63</f>
        <v>0</v>
      </c>
      <c r="P62" s="693">
        <f>0+1+1</f>
        <v>2</v>
      </c>
      <c r="Q62" s="691">
        <f t="shared" si="41"/>
        <v>19549.650000000001</v>
      </c>
      <c r="R62" s="693">
        <f t="shared" si="41"/>
        <v>0</v>
      </c>
      <c r="S62" s="691">
        <f t="shared" si="41"/>
        <v>0</v>
      </c>
      <c r="T62" s="693">
        <f t="shared" si="41"/>
        <v>0</v>
      </c>
      <c r="U62" s="691">
        <f t="shared" si="41"/>
        <v>0</v>
      </c>
      <c r="V62" s="691">
        <f t="shared" si="41"/>
        <v>0</v>
      </c>
      <c r="W62" s="691">
        <f t="shared" si="41"/>
        <v>0</v>
      </c>
      <c r="X62" s="690">
        <f t="shared" si="31"/>
        <v>2</v>
      </c>
      <c r="Y62" s="877">
        <f t="shared" si="37"/>
        <v>19549.650000000001</v>
      </c>
      <c r="Z62" s="809">
        <f>X62/M62*100</f>
        <v>66.666666666666657</v>
      </c>
      <c r="AA62" s="694">
        <f t="shared" si="33"/>
        <v>97.74996062431093</v>
      </c>
      <c r="AB62" s="725"/>
      <c r="AC62" s="695"/>
      <c r="AD62" s="725"/>
      <c r="AE62" s="725"/>
      <c r="AF62" s="727"/>
    </row>
    <row r="63" spans="1:47" ht="72" customHeight="1" x14ac:dyDescent="0.25">
      <c r="A63" s="698">
        <v>35</v>
      </c>
      <c r="B63" s="788" t="s">
        <v>479</v>
      </c>
      <c r="C63" s="742" t="s">
        <v>337</v>
      </c>
      <c r="D63" s="701" t="s">
        <v>480</v>
      </c>
      <c r="E63" s="702" t="s">
        <v>481</v>
      </c>
      <c r="F63" s="703" t="s">
        <v>33</v>
      </c>
      <c r="G63" s="709">
        <v>240</v>
      </c>
      <c r="H63" s="706">
        <v>80000</v>
      </c>
      <c r="I63" s="704"/>
      <c r="J63" s="705"/>
      <c r="K63" s="698">
        <v>60</v>
      </c>
      <c r="L63" s="707">
        <v>19999.650000000001</v>
      </c>
      <c r="M63" s="698">
        <v>60</v>
      </c>
      <c r="N63" s="707">
        <v>19999.650000000001</v>
      </c>
      <c r="O63" s="710"/>
      <c r="P63" s="698">
        <f>0+0+60</f>
        <v>60</v>
      </c>
      <c r="Q63" s="707">
        <f>0+0+19549.65</f>
        <v>19549.650000000001</v>
      </c>
      <c r="R63" s="709">
        <v>0</v>
      </c>
      <c r="S63" s="706">
        <v>0</v>
      </c>
      <c r="T63" s="698">
        <v>0</v>
      </c>
      <c r="U63" s="710">
        <v>0</v>
      </c>
      <c r="V63" s="698">
        <v>0</v>
      </c>
      <c r="W63" s="707">
        <v>0</v>
      </c>
      <c r="X63" s="698">
        <f t="shared" si="31"/>
        <v>60</v>
      </c>
      <c r="Y63" s="707">
        <f t="shared" si="37"/>
        <v>19549.650000000001</v>
      </c>
      <c r="Z63" s="711">
        <f t="shared" si="33"/>
        <v>100</v>
      </c>
      <c r="AA63" s="708">
        <f t="shared" si="33"/>
        <v>97.74996062431093</v>
      </c>
      <c r="AB63" s="712"/>
      <c r="AC63" s="882"/>
      <c r="AD63" s="713"/>
      <c r="AE63" s="713"/>
      <c r="AF63" s="703"/>
    </row>
    <row r="64" spans="1:47" s="681" customFormat="1" ht="62.25" customHeight="1" x14ac:dyDescent="0.25">
      <c r="A64" s="667" t="s">
        <v>482</v>
      </c>
      <c r="B64" s="872">
        <v>4.5914351851851852E-2</v>
      </c>
      <c r="C64" s="745" t="s">
        <v>307</v>
      </c>
      <c r="D64" s="670" t="s">
        <v>483</v>
      </c>
      <c r="E64" s="671" t="s">
        <v>484</v>
      </c>
      <c r="F64" s="672" t="s">
        <v>15</v>
      </c>
      <c r="G64" s="806">
        <v>60.75</v>
      </c>
      <c r="H64" s="803">
        <f>+H65</f>
        <v>154500</v>
      </c>
      <c r="I64" s="675">
        <v>50</v>
      </c>
      <c r="J64" s="674"/>
      <c r="K64" s="673">
        <v>59.25</v>
      </c>
      <c r="L64" s="674">
        <f>L65</f>
        <v>39000</v>
      </c>
      <c r="M64" s="673">
        <v>59.25</v>
      </c>
      <c r="N64" s="674">
        <f>N65</f>
        <v>39000</v>
      </c>
      <c r="O64" s="674">
        <f t="shared" ref="O64:W65" si="42">O65</f>
        <v>0</v>
      </c>
      <c r="P64" s="678">
        <v>59.25</v>
      </c>
      <c r="Q64" s="674">
        <f t="shared" si="42"/>
        <v>0</v>
      </c>
      <c r="R64" s="678">
        <f>P64</f>
        <v>59.25</v>
      </c>
      <c r="S64" s="674">
        <f t="shared" si="42"/>
        <v>38489</v>
      </c>
      <c r="T64" s="678">
        <f>R64</f>
        <v>59.25</v>
      </c>
      <c r="U64" s="674">
        <f t="shared" si="42"/>
        <v>0</v>
      </c>
      <c r="V64" s="674">
        <v>59.25</v>
      </c>
      <c r="W64" s="674">
        <f t="shared" si="42"/>
        <v>0</v>
      </c>
      <c r="X64" s="677">
        <f>V64</f>
        <v>59.25</v>
      </c>
      <c r="Y64" s="674">
        <f t="shared" si="37"/>
        <v>38489</v>
      </c>
      <c r="Z64" s="879">
        <f t="shared" si="33"/>
        <v>100</v>
      </c>
      <c r="AA64" s="678">
        <f t="shared" si="33"/>
        <v>98.6897435897436</v>
      </c>
      <c r="AB64" s="880">
        <v>100</v>
      </c>
      <c r="AC64" s="674">
        <f>Y64+J64</f>
        <v>38489</v>
      </c>
      <c r="AD64" s="748">
        <f>AB64/G64*100</f>
        <v>164.6090534979424</v>
      </c>
      <c r="AE64" s="677">
        <f>AC64/H64*100</f>
        <v>24.911974110032361</v>
      </c>
      <c r="AF64" s="667" t="s">
        <v>16</v>
      </c>
    </row>
    <row r="65" spans="1:32" ht="58.5" customHeight="1" x14ac:dyDescent="0.25">
      <c r="A65" s="727">
        <v>13</v>
      </c>
      <c r="B65" s="881" t="s">
        <v>485</v>
      </c>
      <c r="C65" s="734"/>
      <c r="D65" s="687" t="s">
        <v>486</v>
      </c>
      <c r="E65" s="686" t="s">
        <v>487</v>
      </c>
      <c r="F65" s="684" t="s">
        <v>488</v>
      </c>
      <c r="G65" s="935">
        <v>11</v>
      </c>
      <c r="H65" s="936">
        <f>H66</f>
        <v>154500</v>
      </c>
      <c r="I65" s="720"/>
      <c r="J65" s="721"/>
      <c r="K65" s="690">
        <v>11</v>
      </c>
      <c r="L65" s="691">
        <f>L66</f>
        <v>39000</v>
      </c>
      <c r="M65" s="690">
        <v>11</v>
      </c>
      <c r="N65" s="691">
        <f>N66</f>
        <v>39000</v>
      </c>
      <c r="O65" s="691">
        <f t="shared" si="42"/>
        <v>0</v>
      </c>
      <c r="P65" s="693">
        <f t="shared" si="42"/>
        <v>0</v>
      </c>
      <c r="Q65" s="691">
        <f t="shared" si="42"/>
        <v>0</v>
      </c>
      <c r="R65" s="693">
        <f t="shared" si="42"/>
        <v>78</v>
      </c>
      <c r="S65" s="691">
        <f t="shared" si="42"/>
        <v>38489</v>
      </c>
      <c r="T65" s="693">
        <f t="shared" si="42"/>
        <v>0</v>
      </c>
      <c r="U65" s="691">
        <f t="shared" si="42"/>
        <v>0</v>
      </c>
      <c r="V65" s="691">
        <f t="shared" si="42"/>
        <v>0</v>
      </c>
      <c r="W65" s="691">
        <f t="shared" si="42"/>
        <v>0</v>
      </c>
      <c r="X65" s="690">
        <f t="shared" ref="X65" si="43">P65+R65+T65+V65</f>
        <v>78</v>
      </c>
      <c r="Y65" s="877">
        <f t="shared" si="37"/>
        <v>38489</v>
      </c>
      <c r="Z65" s="809">
        <f t="shared" si="33"/>
        <v>709.09090909090912</v>
      </c>
      <c r="AA65" s="694">
        <f t="shared" si="33"/>
        <v>98.6897435897436</v>
      </c>
      <c r="AB65" s="725"/>
      <c r="AC65" s="695"/>
      <c r="AD65" s="725"/>
      <c r="AE65" s="725"/>
      <c r="AF65" s="727"/>
    </row>
    <row r="66" spans="1:32" ht="72" customHeight="1" x14ac:dyDescent="0.25">
      <c r="A66" s="698">
        <v>36</v>
      </c>
      <c r="B66" s="788" t="s">
        <v>489</v>
      </c>
      <c r="C66" s="742" t="s">
        <v>337</v>
      </c>
      <c r="D66" s="701" t="s">
        <v>486</v>
      </c>
      <c r="E66" s="702" t="s">
        <v>490</v>
      </c>
      <c r="F66" s="703" t="s">
        <v>491</v>
      </c>
      <c r="G66" s="709">
        <v>309</v>
      </c>
      <c r="H66" s="706">
        <v>154500</v>
      </c>
      <c r="I66" s="704"/>
      <c r="J66" s="705"/>
      <c r="K66" s="698">
        <v>78</v>
      </c>
      <c r="L66" s="707">
        <v>39000</v>
      </c>
      <c r="M66" s="698">
        <v>78</v>
      </c>
      <c r="N66" s="707">
        <v>39000</v>
      </c>
      <c r="O66" s="710"/>
      <c r="P66" s="698">
        <v>0</v>
      </c>
      <c r="Q66" s="707">
        <f>0+0+0</f>
        <v>0</v>
      </c>
      <c r="R66" s="709">
        <v>78</v>
      </c>
      <c r="S66" s="706">
        <v>38489</v>
      </c>
      <c r="T66" s="698">
        <v>0</v>
      </c>
      <c r="U66" s="710">
        <v>0</v>
      </c>
      <c r="V66" s="698">
        <v>0</v>
      </c>
      <c r="W66" s="707">
        <v>0</v>
      </c>
      <c r="X66" s="698">
        <v>78</v>
      </c>
      <c r="Y66" s="707">
        <f t="shared" si="37"/>
        <v>38489</v>
      </c>
      <c r="Z66" s="711">
        <f t="shared" si="33"/>
        <v>100</v>
      </c>
      <c r="AA66" s="708">
        <f t="shared" si="33"/>
        <v>98.6897435897436</v>
      </c>
      <c r="AB66" s="712"/>
      <c r="AC66" s="882"/>
      <c r="AD66" s="713"/>
      <c r="AE66" s="713"/>
      <c r="AF66" s="703"/>
    </row>
    <row r="67" spans="1:32" ht="30" customHeight="1" x14ac:dyDescent="0.25">
      <c r="A67" s="883" t="s">
        <v>124</v>
      </c>
      <c r="B67" s="884"/>
      <c r="C67" s="815"/>
      <c r="D67" s="885"/>
      <c r="E67" s="886"/>
      <c r="F67" s="887"/>
      <c r="G67" s="888"/>
      <c r="H67" s="889">
        <f>+H9+H20+H32+H37+H47+H53+H58+H64</f>
        <v>35617862.266000003</v>
      </c>
      <c r="I67" s="889"/>
      <c r="J67" s="889">
        <f>+J9+J20+J32+J37+J47+J53+J58+J64</f>
        <v>0</v>
      </c>
      <c r="K67" s="889"/>
      <c r="L67" s="889">
        <f>L9+L20+L32+L37+L47+L53+L58+L64</f>
        <v>7246546.1979999989</v>
      </c>
      <c r="M67" s="889"/>
      <c r="N67" s="889">
        <f>+N9+N20+N32+N37+N47+N53+N58+N64</f>
        <v>8675787.602</v>
      </c>
      <c r="O67" s="889">
        <f>+O9+O20+O32+O37+O47+O53+O58+O64</f>
        <v>0</v>
      </c>
      <c r="P67" s="889"/>
      <c r="Q67" s="889">
        <f>+Q9+Q20+Q32+Q37+Q47+Q53+Q58+Q64</f>
        <v>1119032.4160000002</v>
      </c>
      <c r="R67" s="889"/>
      <c r="S67" s="889">
        <f>+S9+S20+S32+S37+S47+S53+S58+S64</f>
        <v>2358747.5130000003</v>
      </c>
      <c r="T67" s="889"/>
      <c r="U67" s="889">
        <f>+U9+U20+U32+U37+U47+U53+U58+U64</f>
        <v>2243056.6310000001</v>
      </c>
      <c r="V67" s="889"/>
      <c r="W67" s="889">
        <f>+W9+W20+W32+W37+W47+W53+W58+W64</f>
        <v>2528405.0609999998</v>
      </c>
      <c r="X67" s="889"/>
      <c r="Y67" s="889">
        <f>+Y9+Y20+Y32+Y37+Y47+Y53+Y58+Y64</f>
        <v>8249241.6209999984</v>
      </c>
      <c r="Z67" s="889"/>
      <c r="AA67" s="753">
        <f t="shared" si="3"/>
        <v>95.083489815937043</v>
      </c>
      <c r="AB67" s="889"/>
      <c r="AC67" s="889">
        <f>Y67+J67</f>
        <v>8249241.6209999984</v>
      </c>
      <c r="AD67" s="890"/>
      <c r="AE67" s="890"/>
      <c r="AF67" s="890"/>
    </row>
    <row r="68" spans="1:32" ht="30" customHeight="1" x14ac:dyDescent="0.25">
      <c r="A68" s="891" t="s">
        <v>125</v>
      </c>
      <c r="B68" s="681"/>
      <c r="C68" s="892"/>
      <c r="D68" s="893"/>
      <c r="E68" s="894"/>
      <c r="G68" s="896"/>
      <c r="H68" s="897"/>
      <c r="I68" s="896"/>
      <c r="J68" s="898"/>
      <c r="L68" s="900"/>
      <c r="N68" s="900"/>
      <c r="O68" s="900"/>
      <c r="Q68" s="901"/>
      <c r="R68" s="896"/>
      <c r="S68" s="902"/>
      <c r="X68" s="903"/>
      <c r="Y68" s="904">
        <f>Y67/N67</f>
        <v>0.95083489815937039</v>
      </c>
      <c r="Z68" s="905"/>
      <c r="AA68" s="906"/>
      <c r="AB68" s="907"/>
      <c r="AC68" s="908"/>
      <c r="AD68" s="905"/>
      <c r="AE68" s="905"/>
      <c r="AF68" s="909"/>
    </row>
    <row r="69" spans="1:32" ht="38.25" customHeight="1" x14ac:dyDescent="0.25">
      <c r="A69" s="1041" t="s">
        <v>341</v>
      </c>
      <c r="B69" s="1042"/>
      <c r="C69" s="1043"/>
      <c r="D69" s="910" t="s">
        <v>342</v>
      </c>
      <c r="E69" s="911"/>
      <c r="F69" s="912"/>
      <c r="G69" s="912"/>
      <c r="H69" s="912"/>
      <c r="I69" s="912"/>
      <c r="J69" s="912"/>
      <c r="K69" s="912"/>
      <c r="L69" s="912"/>
      <c r="M69" s="912"/>
      <c r="N69" s="912"/>
      <c r="O69" s="912"/>
      <c r="P69" s="912"/>
      <c r="Q69" s="912"/>
      <c r="R69" s="912"/>
      <c r="S69" s="912"/>
      <c r="T69" s="912"/>
      <c r="U69" s="912"/>
      <c r="V69" s="912"/>
      <c r="W69" s="912"/>
      <c r="X69" s="912"/>
      <c r="Y69" s="912"/>
      <c r="Z69" s="912"/>
      <c r="AA69" s="912"/>
      <c r="AB69" s="912"/>
      <c r="AC69" s="912"/>
      <c r="AD69" s="912"/>
      <c r="AE69" s="912"/>
      <c r="AF69" s="913"/>
    </row>
    <row r="70" spans="1:32" ht="42.75" customHeight="1" x14ac:dyDescent="0.25">
      <c r="A70" s="1041" t="s">
        <v>343</v>
      </c>
      <c r="B70" s="1042"/>
      <c r="C70" s="1043"/>
      <c r="D70" s="914" t="s">
        <v>344</v>
      </c>
      <c r="E70" s="911"/>
      <c r="F70" s="912"/>
      <c r="G70" s="912"/>
      <c r="H70" s="912"/>
      <c r="I70" s="912"/>
      <c r="J70" s="912"/>
      <c r="K70" s="912"/>
      <c r="L70" s="912"/>
      <c r="M70" s="912"/>
      <c r="N70" s="912"/>
      <c r="O70" s="912"/>
      <c r="P70" s="912"/>
      <c r="Q70" s="912"/>
      <c r="R70" s="912"/>
      <c r="S70" s="912"/>
      <c r="T70" s="912"/>
      <c r="U70" s="912"/>
      <c r="V70" s="912"/>
      <c r="W70" s="912"/>
      <c r="X70" s="912"/>
      <c r="Y70" s="912"/>
      <c r="Z70" s="912"/>
      <c r="AA70" s="912"/>
      <c r="AB70" s="912"/>
      <c r="AC70" s="912"/>
      <c r="AD70" s="912"/>
      <c r="AE70" s="912"/>
      <c r="AF70" s="913"/>
    </row>
    <row r="71" spans="1:32" ht="50.25" customHeight="1" x14ac:dyDescent="0.25">
      <c r="A71" s="1041" t="s">
        <v>345</v>
      </c>
      <c r="B71" s="1042"/>
      <c r="C71" s="1043"/>
      <c r="D71" s="915" t="s">
        <v>346</v>
      </c>
      <c r="E71" s="911"/>
      <c r="F71" s="912"/>
      <c r="G71" s="912"/>
      <c r="H71" s="912"/>
      <c r="I71" s="912"/>
      <c r="J71" s="912"/>
      <c r="K71" s="912"/>
      <c r="L71" s="912"/>
      <c r="M71" s="912"/>
      <c r="N71" s="912"/>
      <c r="O71" s="912"/>
      <c r="P71" s="912"/>
      <c r="Q71" s="912"/>
      <c r="R71" s="912"/>
      <c r="S71" s="912"/>
      <c r="T71" s="912"/>
      <c r="U71" s="912"/>
      <c r="V71" s="912"/>
      <c r="W71" s="912"/>
      <c r="X71" s="912"/>
      <c r="Y71" s="912"/>
      <c r="Z71" s="912"/>
      <c r="AA71" s="912"/>
      <c r="AB71" s="912"/>
      <c r="AC71" s="912"/>
      <c r="AD71" s="912"/>
      <c r="AE71" s="912"/>
      <c r="AF71" s="913"/>
    </row>
    <row r="72" spans="1:32" ht="56.25" customHeight="1" x14ac:dyDescent="0.25">
      <c r="A72" s="1041" t="s">
        <v>347</v>
      </c>
      <c r="B72" s="1042"/>
      <c r="C72" s="1043"/>
      <c r="D72" s="915" t="s">
        <v>348</v>
      </c>
      <c r="E72" s="911"/>
      <c r="F72" s="912"/>
      <c r="G72" s="912"/>
      <c r="H72" s="912"/>
      <c r="I72" s="912"/>
      <c r="J72" s="912"/>
      <c r="K72" s="912"/>
      <c r="L72" s="912"/>
      <c r="M72" s="912"/>
      <c r="N72" s="912"/>
      <c r="O72" s="912"/>
      <c r="P72" s="912"/>
      <c r="Q72" s="912"/>
      <c r="R72" s="912"/>
      <c r="S72" s="912"/>
      <c r="T72" s="912"/>
      <c r="U72" s="912"/>
      <c r="V72" s="912"/>
      <c r="W72" s="912"/>
      <c r="X72" s="912"/>
      <c r="Y72" s="912"/>
      <c r="Z72" s="912"/>
      <c r="AA72" s="912"/>
      <c r="AB72" s="912"/>
      <c r="AC72" s="912"/>
      <c r="AD72" s="912"/>
      <c r="AE72" s="912"/>
      <c r="AF72" s="913"/>
    </row>
    <row r="73" spans="1:32" ht="18" customHeight="1" x14ac:dyDescent="0.25">
      <c r="A73" s="916"/>
      <c r="B73" s="681"/>
      <c r="C73" s="892"/>
      <c r="D73" s="917"/>
      <c r="E73" s="917"/>
      <c r="F73" s="917"/>
      <c r="G73" s="917"/>
      <c r="H73" s="917"/>
      <c r="I73" s="917"/>
      <c r="J73" s="917"/>
      <c r="K73" s="917"/>
      <c r="L73" s="917"/>
      <c r="M73" s="917"/>
      <c r="N73" s="917"/>
      <c r="O73" s="917"/>
      <c r="P73" s="917"/>
      <c r="Q73" s="917"/>
      <c r="R73" s="917"/>
      <c r="S73" s="917"/>
      <c r="T73" s="917"/>
      <c r="U73" s="917"/>
      <c r="V73" s="917"/>
      <c r="W73" s="917"/>
      <c r="X73" s="917"/>
      <c r="Y73" s="917"/>
      <c r="Z73" s="917"/>
      <c r="AA73" s="917"/>
      <c r="AB73" s="917"/>
      <c r="AC73" s="917"/>
      <c r="AD73" s="917"/>
      <c r="AE73" s="917"/>
      <c r="AF73" s="917"/>
    </row>
    <row r="74" spans="1:32" ht="20.100000000000001" customHeight="1" x14ac:dyDescent="0.25">
      <c r="A74" s="916"/>
      <c r="B74" s="681"/>
      <c r="C74" s="892"/>
      <c r="D74" s="917"/>
      <c r="E74" s="917"/>
      <c r="F74" s="917"/>
      <c r="G74" s="1007" t="s">
        <v>349</v>
      </c>
      <c r="H74" s="1007"/>
      <c r="I74" s="1007"/>
      <c r="J74" s="1007"/>
      <c r="K74" s="1007"/>
      <c r="L74" s="1007"/>
      <c r="M74" s="1007"/>
      <c r="N74" s="1007"/>
      <c r="O74" s="919"/>
      <c r="P74" s="919"/>
      <c r="Q74" s="919"/>
      <c r="R74" s="919"/>
      <c r="S74" s="919"/>
      <c r="T74" s="919"/>
      <c r="U74" s="919"/>
      <c r="V74" s="919"/>
      <c r="W74" s="919"/>
      <c r="X74" s="919"/>
      <c r="Y74" s="1007" t="s">
        <v>350</v>
      </c>
      <c r="Z74" s="1007"/>
      <c r="AA74" s="1007"/>
      <c r="AB74" s="1007"/>
      <c r="AC74" s="1007"/>
      <c r="AD74" s="1007"/>
      <c r="AE74" s="919"/>
      <c r="AF74" s="917"/>
    </row>
    <row r="75" spans="1:32" ht="20.100000000000001" customHeight="1" x14ac:dyDescent="0.25">
      <c r="A75" s="916"/>
      <c r="B75" s="681"/>
      <c r="C75" s="892"/>
      <c r="D75" s="917"/>
      <c r="E75" s="917"/>
      <c r="F75" s="917"/>
      <c r="G75" s="1007" t="s">
        <v>499</v>
      </c>
      <c r="H75" s="1007"/>
      <c r="I75" s="1007"/>
      <c r="J75" s="1007"/>
      <c r="K75" s="1007"/>
      <c r="L75" s="1007"/>
      <c r="M75" s="1007"/>
      <c r="N75" s="1007"/>
      <c r="O75" s="919"/>
      <c r="P75" s="919"/>
      <c r="Q75" s="919"/>
      <c r="R75" s="919"/>
      <c r="S75" s="919"/>
      <c r="T75" s="919"/>
      <c r="U75" s="919"/>
      <c r="V75" s="919"/>
      <c r="W75" s="919"/>
      <c r="X75" s="1007" t="s">
        <v>499</v>
      </c>
      <c r="Y75" s="1007"/>
      <c r="Z75" s="1007"/>
      <c r="AA75" s="1007"/>
      <c r="AB75" s="1007"/>
      <c r="AC75" s="1007"/>
      <c r="AD75" s="1007"/>
      <c r="AE75" s="1007"/>
      <c r="AF75" s="917"/>
    </row>
    <row r="76" spans="1:32" ht="20.100000000000001" customHeight="1" x14ac:dyDescent="0.25">
      <c r="A76" s="916"/>
      <c r="B76" s="681"/>
      <c r="C76" s="892"/>
      <c r="D76" s="917"/>
      <c r="E76" s="917"/>
      <c r="F76" s="917"/>
      <c r="G76" s="919"/>
      <c r="H76" s="919"/>
      <c r="I76" s="919"/>
      <c r="J76" s="919"/>
      <c r="K76" s="919"/>
      <c r="L76" s="918"/>
      <c r="M76" s="918"/>
      <c r="N76" s="918"/>
      <c r="O76" s="919"/>
      <c r="P76" s="919"/>
      <c r="Q76" s="919"/>
      <c r="R76" s="919"/>
      <c r="S76" s="919"/>
      <c r="T76" s="919"/>
      <c r="U76" s="919"/>
      <c r="V76" s="919"/>
      <c r="W76" s="919"/>
      <c r="X76" s="919"/>
      <c r="Y76" s="919"/>
      <c r="Z76" s="919"/>
      <c r="AA76" s="919"/>
      <c r="AB76" s="919"/>
      <c r="AC76" s="918"/>
      <c r="AD76" s="918"/>
      <c r="AE76" s="918"/>
      <c r="AF76" s="917"/>
    </row>
    <row r="77" spans="1:32" ht="20.100000000000001" customHeight="1" x14ac:dyDescent="0.25">
      <c r="A77" s="916"/>
      <c r="B77" s="681"/>
      <c r="C77" s="892"/>
      <c r="D77" s="917"/>
      <c r="E77" s="917"/>
      <c r="F77" s="917"/>
      <c r="G77" s="1007" t="s">
        <v>352</v>
      </c>
      <c r="H77" s="1007"/>
      <c r="I77" s="1007"/>
      <c r="J77" s="1007"/>
      <c r="K77" s="1007"/>
      <c r="L77" s="1007"/>
      <c r="M77" s="1007"/>
      <c r="N77" s="1007"/>
      <c r="O77" s="919"/>
      <c r="P77" s="919"/>
      <c r="Q77" s="919"/>
      <c r="R77" s="919"/>
      <c r="S77" s="919"/>
      <c r="T77" s="919"/>
      <c r="U77" s="919"/>
      <c r="V77" s="919"/>
      <c r="W77" s="919"/>
      <c r="X77" s="1007" t="s">
        <v>353</v>
      </c>
      <c r="Y77" s="1007"/>
      <c r="Z77" s="1007"/>
      <c r="AA77" s="1007"/>
      <c r="AB77" s="1007"/>
      <c r="AC77" s="1007"/>
      <c r="AD77" s="1007"/>
      <c r="AE77" s="1007"/>
      <c r="AF77" s="917"/>
    </row>
    <row r="78" spans="1:32" ht="20.100000000000001" customHeight="1" x14ac:dyDescent="0.25">
      <c r="A78" s="916"/>
      <c r="B78" s="681"/>
      <c r="C78" s="892"/>
      <c r="D78" s="917"/>
      <c r="E78" s="917"/>
      <c r="F78" s="917"/>
      <c r="G78" s="1007" t="s">
        <v>354</v>
      </c>
      <c r="H78" s="1007"/>
      <c r="I78" s="1007"/>
      <c r="J78" s="1007"/>
      <c r="K78" s="1007"/>
      <c r="L78" s="1007"/>
      <c r="M78" s="1007"/>
      <c r="N78" s="1007"/>
      <c r="O78" s="919"/>
      <c r="P78" s="919"/>
      <c r="Q78" s="919"/>
      <c r="R78" s="919"/>
      <c r="S78" s="919"/>
      <c r="T78" s="919"/>
      <c r="U78" s="919"/>
      <c r="V78" s="919"/>
      <c r="W78" s="919"/>
      <c r="X78" s="1007" t="s">
        <v>354</v>
      </c>
      <c r="Y78" s="1007"/>
      <c r="Z78" s="1007"/>
      <c r="AA78" s="1007"/>
      <c r="AB78" s="1007"/>
      <c r="AC78" s="1007"/>
      <c r="AD78" s="1007"/>
      <c r="AE78" s="1007"/>
      <c r="AF78" s="917"/>
    </row>
    <row r="79" spans="1:32" ht="20.100000000000001" customHeight="1" x14ac:dyDescent="0.25">
      <c r="A79" s="916"/>
      <c r="B79" s="681"/>
      <c r="C79" s="892"/>
      <c r="D79" s="917"/>
      <c r="E79" s="917"/>
      <c r="F79" s="917"/>
      <c r="G79" s="919"/>
      <c r="H79" s="919"/>
      <c r="I79" s="919"/>
      <c r="J79" s="919"/>
      <c r="K79" s="919"/>
      <c r="L79" s="918"/>
      <c r="M79" s="918"/>
      <c r="N79" s="918"/>
      <c r="O79" s="919"/>
      <c r="P79" s="919"/>
      <c r="Q79" s="919"/>
      <c r="R79" s="919"/>
      <c r="S79" s="919"/>
      <c r="T79" s="919"/>
      <c r="U79" s="919"/>
      <c r="V79" s="919"/>
      <c r="W79" s="919"/>
      <c r="X79" s="919"/>
      <c r="Y79" s="919"/>
      <c r="Z79" s="919"/>
      <c r="AA79" s="919"/>
      <c r="AB79" s="919"/>
      <c r="AC79" s="918"/>
      <c r="AD79" s="918"/>
      <c r="AE79" s="918"/>
      <c r="AF79" s="917"/>
    </row>
    <row r="80" spans="1:32" ht="20.100000000000001" customHeight="1" x14ac:dyDescent="0.25">
      <c r="A80" s="916"/>
      <c r="B80" s="681"/>
      <c r="C80" s="892"/>
      <c r="D80" s="917"/>
      <c r="E80" s="917"/>
      <c r="F80" s="917"/>
      <c r="G80" s="919"/>
      <c r="H80" s="919"/>
      <c r="I80" s="919"/>
      <c r="J80" s="919"/>
      <c r="K80" s="919"/>
      <c r="L80" s="918"/>
      <c r="M80" s="918"/>
      <c r="N80" s="918"/>
      <c r="O80" s="919"/>
      <c r="P80" s="919"/>
      <c r="Q80" s="919"/>
      <c r="R80" s="919"/>
      <c r="S80" s="919"/>
      <c r="T80" s="919"/>
      <c r="U80" s="919"/>
      <c r="V80" s="919"/>
      <c r="W80" s="919"/>
      <c r="X80" s="919"/>
      <c r="Y80" s="919"/>
      <c r="Z80" s="919"/>
      <c r="AA80" s="919"/>
      <c r="AB80" s="919"/>
      <c r="AC80" s="918"/>
      <c r="AD80" s="918"/>
      <c r="AE80" s="918"/>
      <c r="AF80" s="917"/>
    </row>
    <row r="81" spans="1:32" ht="20.100000000000001" customHeight="1" x14ac:dyDescent="0.25">
      <c r="A81" s="916"/>
      <c r="B81" s="681"/>
      <c r="C81" s="892"/>
      <c r="D81" s="917"/>
      <c r="E81" s="917"/>
      <c r="F81" s="917"/>
      <c r="G81" s="919"/>
      <c r="H81" s="919"/>
      <c r="I81" s="919"/>
      <c r="J81" s="919"/>
      <c r="K81" s="919"/>
      <c r="L81" s="919"/>
      <c r="M81" s="919"/>
      <c r="N81" s="919"/>
      <c r="O81" s="919"/>
      <c r="P81" s="919"/>
      <c r="Q81" s="919"/>
      <c r="R81" s="919"/>
      <c r="S81" s="919"/>
      <c r="T81" s="919"/>
      <c r="U81" s="919"/>
      <c r="V81" s="919"/>
      <c r="W81" s="919"/>
      <c r="X81" s="919"/>
      <c r="Y81" s="919"/>
      <c r="Z81" s="919"/>
      <c r="AA81" s="919"/>
      <c r="AB81" s="919"/>
      <c r="AC81" s="919"/>
      <c r="AD81" s="919"/>
      <c r="AE81" s="919"/>
      <c r="AF81" s="917"/>
    </row>
    <row r="82" spans="1:32" ht="20.100000000000001" customHeight="1" x14ac:dyDescent="0.25">
      <c r="A82" s="916"/>
      <c r="B82" s="681"/>
      <c r="C82" s="892"/>
      <c r="D82" s="917"/>
      <c r="E82" s="917"/>
      <c r="F82" s="917"/>
      <c r="G82" s="1044" t="s">
        <v>355</v>
      </c>
      <c r="H82" s="1044"/>
      <c r="I82" s="1044"/>
      <c r="J82" s="1044"/>
      <c r="K82" s="1044"/>
      <c r="L82" s="1044"/>
      <c r="M82" s="1044"/>
      <c r="N82" s="1044"/>
      <c r="O82" s="919"/>
      <c r="P82" s="919"/>
      <c r="Q82" s="919"/>
      <c r="R82" s="919"/>
      <c r="S82" s="919"/>
      <c r="T82" s="919"/>
      <c r="U82" s="919"/>
      <c r="V82" s="919"/>
      <c r="W82" s="919"/>
      <c r="X82" s="1044" t="s">
        <v>356</v>
      </c>
      <c r="Y82" s="1044"/>
      <c r="Z82" s="1044"/>
      <c r="AA82" s="1044"/>
      <c r="AB82" s="1044"/>
      <c r="AC82" s="1044"/>
      <c r="AD82" s="1044"/>
      <c r="AE82" s="1044"/>
      <c r="AF82" s="920"/>
    </row>
    <row r="83" spans="1:32" ht="20.100000000000001" customHeight="1" x14ac:dyDescent="0.25">
      <c r="A83" s="916"/>
      <c r="B83" s="681"/>
      <c r="C83" s="892"/>
      <c r="D83" s="917"/>
      <c r="E83" s="917"/>
      <c r="F83" s="917"/>
      <c r="G83" s="1007" t="s">
        <v>358</v>
      </c>
      <c r="H83" s="1007"/>
      <c r="I83" s="1007"/>
      <c r="J83" s="1007"/>
      <c r="K83" s="1007"/>
      <c r="L83" s="1007"/>
      <c r="M83" s="1007"/>
      <c r="N83" s="1007"/>
      <c r="O83" s="919"/>
      <c r="P83" s="919"/>
      <c r="Q83" s="919"/>
      <c r="R83" s="919"/>
      <c r="S83" s="919"/>
      <c r="T83" s="919"/>
      <c r="U83" s="919"/>
      <c r="V83" s="919"/>
      <c r="W83" s="919"/>
      <c r="X83" s="1007" t="s">
        <v>358</v>
      </c>
      <c r="Y83" s="1007"/>
      <c r="Z83" s="1007"/>
      <c r="AA83" s="1007"/>
      <c r="AB83" s="1007"/>
      <c r="AC83" s="1007"/>
      <c r="AD83" s="1007"/>
      <c r="AE83" s="1007"/>
      <c r="AF83" s="917"/>
    </row>
    <row r="84" spans="1:32" ht="20.100000000000001" customHeight="1" x14ac:dyDescent="0.25">
      <c r="A84" s="916"/>
      <c r="B84" s="681"/>
      <c r="C84" s="892"/>
      <c r="D84" s="917"/>
      <c r="E84" s="917"/>
      <c r="F84" s="917"/>
      <c r="G84" s="1007" t="s">
        <v>359</v>
      </c>
      <c r="H84" s="1007"/>
      <c r="I84" s="1007"/>
      <c r="J84" s="1007"/>
      <c r="K84" s="1007"/>
      <c r="L84" s="1007"/>
      <c r="M84" s="1007"/>
      <c r="N84" s="1007"/>
      <c r="O84" s="919"/>
      <c r="P84" s="919"/>
      <c r="Q84" s="919"/>
      <c r="R84" s="919"/>
      <c r="S84" s="919"/>
      <c r="T84" s="919"/>
      <c r="U84" s="919"/>
      <c r="V84" s="919"/>
      <c r="W84" s="919"/>
      <c r="X84" s="1007" t="s">
        <v>360</v>
      </c>
      <c r="Y84" s="1007"/>
      <c r="Z84" s="1007"/>
      <c r="AA84" s="1007"/>
      <c r="AB84" s="1007"/>
      <c r="AC84" s="1007"/>
      <c r="AD84" s="1007"/>
      <c r="AE84" s="1007"/>
      <c r="AF84" s="917"/>
    </row>
    <row r="85" spans="1:32" ht="30" customHeight="1" x14ac:dyDescent="0.25">
      <c r="A85" s="916"/>
      <c r="B85" s="681"/>
      <c r="C85" s="892"/>
      <c r="D85" s="917"/>
      <c r="E85" s="917"/>
      <c r="F85" s="917"/>
      <c r="G85" s="917"/>
      <c r="H85" s="917"/>
      <c r="I85" s="917"/>
      <c r="J85" s="917"/>
      <c r="K85" s="917"/>
      <c r="L85" s="917"/>
      <c r="M85" s="917"/>
      <c r="N85" s="917"/>
      <c r="O85" s="917"/>
      <c r="P85" s="917"/>
      <c r="Q85" s="917"/>
      <c r="R85" s="917"/>
      <c r="S85" s="917"/>
      <c r="T85" s="917"/>
      <c r="U85" s="917"/>
      <c r="V85" s="917"/>
      <c r="W85" s="917"/>
      <c r="X85" s="917"/>
      <c r="Y85" s="917"/>
      <c r="Z85" s="917"/>
      <c r="AA85" s="917"/>
      <c r="AB85" s="917"/>
      <c r="AC85" s="917"/>
      <c r="AD85" s="917"/>
      <c r="AE85" s="917"/>
      <c r="AF85" s="917"/>
    </row>
    <row r="86" spans="1:32" ht="30" customHeight="1" x14ac:dyDescent="0.25">
      <c r="A86" s="916"/>
      <c r="B86" s="681"/>
      <c r="C86" s="892"/>
      <c r="D86" s="917"/>
      <c r="E86" s="917"/>
      <c r="F86" s="917"/>
      <c r="G86" s="917"/>
      <c r="H86" s="917"/>
      <c r="I86" s="917"/>
      <c r="J86" s="917"/>
      <c r="K86" s="917"/>
      <c r="L86" s="917"/>
      <c r="M86" s="917"/>
      <c r="N86" s="917"/>
      <c r="O86" s="917"/>
      <c r="P86" s="917"/>
      <c r="Q86" s="917"/>
      <c r="R86" s="917"/>
      <c r="S86" s="917"/>
      <c r="T86" s="917"/>
      <c r="U86" s="917"/>
      <c r="V86" s="917"/>
      <c r="W86" s="917"/>
      <c r="X86" s="917"/>
      <c r="Y86" s="917"/>
      <c r="Z86" s="917"/>
      <c r="AA86" s="917"/>
      <c r="AB86" s="917"/>
      <c r="AC86" s="917"/>
      <c r="AD86" s="917"/>
      <c r="AE86" s="917"/>
      <c r="AF86" s="917"/>
    </row>
    <row r="87" spans="1:32" ht="30" customHeight="1" x14ac:dyDescent="0.25">
      <c r="A87" s="916"/>
      <c r="B87" s="681"/>
      <c r="C87" s="892"/>
      <c r="D87" s="917"/>
      <c r="E87" s="917"/>
      <c r="F87" s="917"/>
      <c r="G87" s="917"/>
      <c r="H87" s="917"/>
      <c r="I87" s="917"/>
      <c r="J87" s="917"/>
      <c r="K87" s="917"/>
      <c r="L87" s="917"/>
      <c r="M87" s="917"/>
      <c r="N87" s="917"/>
      <c r="O87" s="917"/>
      <c r="P87" s="917"/>
      <c r="Q87" s="917"/>
      <c r="R87" s="917"/>
      <c r="S87" s="917"/>
      <c r="T87" s="917"/>
      <c r="U87" s="917"/>
      <c r="V87" s="917"/>
      <c r="W87" s="917"/>
      <c r="X87" s="917"/>
      <c r="Y87" s="917"/>
      <c r="Z87" s="917"/>
      <c r="AA87" s="917"/>
      <c r="AB87" s="917"/>
      <c r="AC87" s="917"/>
      <c r="AD87" s="917"/>
      <c r="AE87" s="917"/>
      <c r="AF87" s="917"/>
    </row>
    <row r="88" spans="1:32" x14ac:dyDescent="0.25">
      <c r="C88" s="921"/>
      <c r="D88" s="917"/>
      <c r="E88" s="894"/>
    </row>
    <row r="89" spans="1:32" x14ac:dyDescent="0.25">
      <c r="C89" s="922"/>
      <c r="D89" s="650"/>
      <c r="L89" s="923"/>
      <c r="N89" s="908"/>
      <c r="O89" s="908"/>
      <c r="Q89" s="908"/>
      <c r="S89" s="923"/>
      <c r="W89" s="908"/>
      <c r="Y89" s="908"/>
    </row>
    <row r="90" spans="1:32" x14ac:dyDescent="0.25">
      <c r="C90" s="924"/>
      <c r="D90" s="650"/>
      <c r="L90" s="908"/>
      <c r="N90" s="925"/>
      <c r="O90" s="926"/>
    </row>
    <row r="91" spans="1:32" x14ac:dyDescent="0.25">
      <c r="D91" s="650"/>
    </row>
    <row r="92" spans="1:32" x14ac:dyDescent="0.25">
      <c r="D92" s="650"/>
      <c r="L92" s="927"/>
    </row>
    <row r="93" spans="1:32" x14ac:dyDescent="0.25">
      <c r="D93" s="650"/>
    </row>
    <row r="94" spans="1:32" x14ac:dyDescent="0.25">
      <c r="D94" s="650"/>
      <c r="L94" s="928"/>
    </row>
    <row r="95" spans="1:32" x14ac:dyDescent="0.25">
      <c r="D95" s="650"/>
    </row>
    <row r="96" spans="1:32" x14ac:dyDescent="0.25">
      <c r="D96" s="650"/>
    </row>
    <row r="97" s="650" customFormat="1" x14ac:dyDescent="0.25"/>
    <row r="98" s="650" customFormat="1" x14ac:dyDescent="0.25"/>
    <row r="99" s="650" customFormat="1" x14ac:dyDescent="0.25"/>
    <row r="100" s="650" customFormat="1" x14ac:dyDescent="0.25"/>
    <row r="101" s="650" customFormat="1" x14ac:dyDescent="0.25"/>
    <row r="102" s="650" customFormat="1" x14ac:dyDescent="0.25"/>
    <row r="103" s="650" customFormat="1" x14ac:dyDescent="0.25"/>
    <row r="104" s="650" customFormat="1" x14ac:dyDescent="0.25"/>
    <row r="105" s="650" customFormat="1" x14ac:dyDescent="0.25"/>
    <row r="106" s="650" customFormat="1" x14ac:dyDescent="0.25"/>
    <row r="107" s="650" customFormat="1" x14ac:dyDescent="0.25"/>
    <row r="108" s="650" customFormat="1" x14ac:dyDescent="0.25"/>
    <row r="109" s="650" customFormat="1" x14ac:dyDescent="0.25"/>
    <row r="110" s="650" customFormat="1" x14ac:dyDescent="0.25"/>
    <row r="111" s="650" customFormat="1" x14ac:dyDescent="0.25"/>
    <row r="112" s="650" customFormat="1" x14ac:dyDescent="0.25"/>
    <row r="113" s="650" customFormat="1" x14ac:dyDescent="0.25"/>
    <row r="114" s="650" customFormat="1" x14ac:dyDescent="0.25"/>
    <row r="115" s="650" customFormat="1" x14ac:dyDescent="0.25"/>
    <row r="116" s="650" customFormat="1" x14ac:dyDescent="0.25"/>
    <row r="117" s="650" customFormat="1" x14ac:dyDescent="0.25"/>
    <row r="118" s="650" customFormat="1" x14ac:dyDescent="0.25"/>
    <row r="119" s="650" customFormat="1" x14ac:dyDescent="0.25"/>
    <row r="120" s="650" customFormat="1" x14ac:dyDescent="0.25"/>
    <row r="121" s="650" customFormat="1" x14ac:dyDescent="0.25"/>
    <row r="122" s="650" customFormat="1" x14ac:dyDescent="0.25"/>
    <row r="123" s="650" customFormat="1" x14ac:dyDescent="0.25"/>
    <row r="124" s="650" customFormat="1" x14ac:dyDescent="0.25"/>
    <row r="125" s="650" customFormat="1" x14ac:dyDescent="0.25"/>
    <row r="126" s="650" customFormat="1" x14ac:dyDescent="0.25"/>
    <row r="127" s="650" customFormat="1" x14ac:dyDescent="0.25"/>
    <row r="128" s="650" customFormat="1" x14ac:dyDescent="0.25"/>
    <row r="129" s="650" customFormat="1" x14ac:dyDescent="0.25"/>
    <row r="130" s="650" customFormat="1" x14ac:dyDescent="0.25"/>
    <row r="131" s="650" customFormat="1" x14ac:dyDescent="0.25"/>
    <row r="132" s="650" customFormat="1" x14ac:dyDescent="0.25"/>
    <row r="133" s="650" customFormat="1" x14ac:dyDescent="0.25"/>
    <row r="134" s="650" customFormat="1" x14ac:dyDescent="0.25"/>
    <row r="135" s="650" customFormat="1" x14ac:dyDescent="0.25"/>
    <row r="136" s="650" customFormat="1" x14ac:dyDescent="0.25"/>
    <row r="137" s="650" customFormat="1" x14ac:dyDescent="0.25"/>
    <row r="138" s="650" customFormat="1" x14ac:dyDescent="0.25"/>
    <row r="139" s="650" customFormat="1" x14ac:dyDescent="0.25"/>
    <row r="140" s="650" customFormat="1" x14ac:dyDescent="0.25"/>
    <row r="141" s="650" customFormat="1" x14ac:dyDescent="0.25"/>
    <row r="142" s="650" customFormat="1" x14ac:dyDescent="0.25"/>
    <row r="143" s="650" customFormat="1" x14ac:dyDescent="0.25"/>
    <row r="144" s="650" customFormat="1" x14ac:dyDescent="0.25"/>
    <row r="145" s="650" customFormat="1" x14ac:dyDescent="0.25"/>
    <row r="146" s="650" customFormat="1" x14ac:dyDescent="0.25"/>
    <row r="147" s="650" customFormat="1" x14ac:dyDescent="0.25"/>
    <row r="148" s="650" customFormat="1" x14ac:dyDescent="0.25"/>
    <row r="149" s="650" customFormat="1" x14ac:dyDescent="0.25"/>
    <row r="150" s="650" customFormat="1" x14ac:dyDescent="0.25"/>
    <row r="151" s="650" customFormat="1" x14ac:dyDescent="0.25"/>
    <row r="152" s="650" customFormat="1" x14ac:dyDescent="0.25"/>
    <row r="153" s="650" customFormat="1" x14ac:dyDescent="0.25"/>
    <row r="154" s="650" customFormat="1" x14ac:dyDescent="0.25"/>
    <row r="155" s="650" customFormat="1" x14ac:dyDescent="0.25"/>
    <row r="156" s="650" customFormat="1" x14ac:dyDescent="0.25"/>
    <row r="157" s="650" customFormat="1" x14ac:dyDescent="0.25"/>
  </sheetData>
  <mergeCells count="50">
    <mergeCell ref="G82:N82"/>
    <mergeCell ref="X82:AE82"/>
    <mergeCell ref="G83:N83"/>
    <mergeCell ref="X83:AE83"/>
    <mergeCell ref="G84:N84"/>
    <mergeCell ref="X84:AE84"/>
    <mergeCell ref="G75:N75"/>
    <mergeCell ref="X75:AE75"/>
    <mergeCell ref="G77:N77"/>
    <mergeCell ref="X77:AE77"/>
    <mergeCell ref="G78:N78"/>
    <mergeCell ref="X78:AE78"/>
    <mergeCell ref="A69:C69"/>
    <mergeCell ref="A70:C70"/>
    <mergeCell ref="A71:C71"/>
    <mergeCell ref="A72:C72"/>
    <mergeCell ref="G74:N74"/>
    <mergeCell ref="Y74:AD74"/>
    <mergeCell ref="T8:U8"/>
    <mergeCell ref="V8:W8"/>
    <mergeCell ref="X8:Y8"/>
    <mergeCell ref="Z8:AA8"/>
    <mergeCell ref="AB8:AC8"/>
    <mergeCell ref="AD8:AE8"/>
    <mergeCell ref="P5:Q6"/>
    <mergeCell ref="R5:S6"/>
    <mergeCell ref="T5:U6"/>
    <mergeCell ref="V5:W6"/>
    <mergeCell ref="AD4:AE6"/>
    <mergeCell ref="G8:H8"/>
    <mergeCell ref="I8:J8"/>
    <mergeCell ref="K8:N8"/>
    <mergeCell ref="P8:Q8"/>
    <mergeCell ref="R8:S8"/>
    <mergeCell ref="A1:AF1"/>
    <mergeCell ref="A2:AF2"/>
    <mergeCell ref="A4:A7"/>
    <mergeCell ref="B4:B7"/>
    <mergeCell ref="C4:C7"/>
    <mergeCell ref="D4:D7"/>
    <mergeCell ref="E4:E7"/>
    <mergeCell ref="F4:F7"/>
    <mergeCell ref="G4:H6"/>
    <mergeCell ref="I4:J6"/>
    <mergeCell ref="K4:O6"/>
    <mergeCell ref="P4:W4"/>
    <mergeCell ref="X4:Y6"/>
    <mergeCell ref="Z4:AA6"/>
    <mergeCell ref="AB4:AC6"/>
    <mergeCell ref="AF4:AF7"/>
  </mergeCells>
  <printOptions horizontalCentered="1"/>
  <pageMargins left="0.25" right="0.25" top="0.38" bottom="0.33" header="0.3" footer="0.3"/>
  <pageSetup paperSize="130" scale="47" firstPageNumber="12" fitToHeight="0" orientation="landscape" useFirstPageNumber="1" horizontalDpi="4294967293" r:id="rId1"/>
  <rowBreaks count="1" manualBreakCount="1">
    <brk id="100" max="3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2.1 Evaluasi RKPD TW II</vt:lpstr>
      <vt:lpstr>3.1 Perubahan</vt:lpstr>
      <vt:lpstr>TW IV DES</vt:lpstr>
      <vt:lpstr>'2.1 Evaluasi RKPD TW II'!Print_Area</vt:lpstr>
      <vt:lpstr>'3.1 Perubahan'!Print_Area</vt:lpstr>
      <vt:lpstr>'TW IV DES'!Print_Area</vt:lpstr>
      <vt:lpstr>'2.1 Evaluasi RKPD TW II'!Print_Titles</vt:lpstr>
      <vt:lpstr>'3.1 Perubahan'!Print_Titles</vt:lpstr>
      <vt:lpstr>'TW IV DES'!Print_Titles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HANI</cp:lastModifiedBy>
  <cp:lastPrinted>2024-01-04T04:19:16Z</cp:lastPrinted>
  <dcterms:created xsi:type="dcterms:W3CDTF">2021-07-06T01:27:12Z</dcterms:created>
  <dcterms:modified xsi:type="dcterms:W3CDTF">2024-01-04T08:09:45Z</dcterms:modified>
</cp:coreProperties>
</file>